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PABLO\Downloads\"/>
    </mc:Choice>
  </mc:AlternateContent>
  <xr:revisionPtr revIDLastSave="0" documentId="13_ncr:1_{CC3E5E88-5E1C-4C7F-B1DB-90B57F182508}" xr6:coauthVersionLast="47" xr6:coauthVersionMax="47" xr10:uidLastSave="{00000000-0000-0000-0000-000000000000}"/>
  <bookViews>
    <workbookView xWindow="-108" yWindow="-108" windowWidth="20376" windowHeight="12216" tabRatio="500" xr2:uid="{00000000-000D-0000-FFFF-FFFF00000000}"/>
  </bookViews>
  <sheets>
    <sheet name="README" sheetId="1" r:id="rId1"/>
    <sheet name="SCHEMA_DEFINITION" sheetId="2" r:id="rId2"/>
    <sheet name="PHASE 1_1" sheetId="3" r:id="rId3"/>
    <sheet name="PHASE 1_2" sheetId="8" r:id="rId4"/>
    <sheet name="PHASE 1_N" sheetId="7" r:id="rId5"/>
    <sheet name="PHASE 2" sheetId="5" r:id="rId6"/>
    <sheet name="ITERATION_LOG" sheetId="6" r:id="rId7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5" i="5" l="1"/>
  <c r="D6" i="6"/>
  <c r="C4" i="6"/>
  <c r="C3" i="6"/>
  <c r="F6" i="6"/>
  <c r="E6" i="6"/>
  <c r="F5" i="6"/>
  <c r="E5" i="6"/>
  <c r="F4" i="6"/>
  <c r="E4" i="6"/>
  <c r="F3" i="6"/>
  <c r="E3" i="6"/>
  <c r="D5" i="6"/>
  <c r="D4" i="6"/>
  <c r="D3" i="6"/>
  <c r="B34" i="5"/>
  <c r="B22" i="5"/>
  <c r="B23" i="5"/>
  <c r="B24" i="5"/>
  <c r="B25" i="5"/>
  <c r="B26" i="5"/>
  <c r="B27" i="5"/>
  <c r="B28" i="5"/>
  <c r="B29" i="5"/>
  <c r="B21" i="5"/>
  <c r="B9" i="5"/>
  <c r="B10" i="5"/>
  <c r="B11" i="5"/>
  <c r="B12" i="5"/>
  <c r="B13" i="5"/>
  <c r="B14" i="5"/>
  <c r="B15" i="5"/>
  <c r="B16" i="5"/>
  <c r="B8" i="5"/>
  <c r="B54" i="7"/>
  <c r="B55" i="7" s="1"/>
  <c r="B55" i="3"/>
  <c r="B54" i="3"/>
  <c r="C46" i="8"/>
  <c r="B50" i="8" s="1"/>
  <c r="B46" i="8"/>
  <c r="E45" i="8"/>
  <c r="D45" i="8"/>
  <c r="E44" i="8"/>
  <c r="D44" i="8"/>
  <c r="E43" i="8"/>
  <c r="D43" i="8"/>
  <c r="E42" i="8"/>
  <c r="D42" i="8"/>
  <c r="E41" i="8"/>
  <c r="D41" i="8"/>
  <c r="E40" i="8"/>
  <c r="D40" i="8"/>
  <c r="E39" i="8"/>
  <c r="D39" i="8"/>
  <c r="E38" i="8"/>
  <c r="D38" i="8"/>
  <c r="E37" i="8"/>
  <c r="B51" i="8" s="1" a="1"/>
  <c r="B51" i="8" s="1"/>
  <c r="B54" i="8" s="1"/>
  <c r="B55" i="8" s="1"/>
  <c r="D37" i="8"/>
  <c r="B28" i="8"/>
  <c r="B24" i="8"/>
  <c r="C16" i="8"/>
  <c r="E15" i="8" s="1"/>
  <c r="B16" i="8"/>
  <c r="D15" i="8"/>
  <c r="E14" i="8"/>
  <c r="D14" i="8"/>
  <c r="D13" i="8"/>
  <c r="E12" i="8"/>
  <c r="D12" i="8"/>
  <c r="D11" i="8"/>
  <c r="E10" i="8"/>
  <c r="D10" i="8"/>
  <c r="D9" i="8"/>
  <c r="E8" i="8"/>
  <c r="D8" i="8"/>
  <c r="D7" i="8"/>
  <c r="C46" i="7"/>
  <c r="B50" i="7" s="1"/>
  <c r="B46" i="7"/>
  <c r="E45" i="7"/>
  <c r="D45" i="7"/>
  <c r="E44" i="7"/>
  <c r="D44" i="7"/>
  <c r="E43" i="7"/>
  <c r="D43" i="7"/>
  <c r="E42" i="7"/>
  <c r="D42" i="7"/>
  <c r="E41" i="7"/>
  <c r="D41" i="7"/>
  <c r="E40" i="7"/>
  <c r="D40" i="7"/>
  <c r="E39" i="7"/>
  <c r="D39" i="7"/>
  <c r="E38" i="7"/>
  <c r="D38" i="7"/>
  <c r="E37" i="7"/>
  <c r="B51" i="7" s="1" a="1"/>
  <c r="B51" i="7" s="1"/>
  <c r="D37" i="7"/>
  <c r="B28" i="7"/>
  <c r="B24" i="7"/>
  <c r="C16" i="7"/>
  <c r="E15" i="7" s="1"/>
  <c r="B16" i="7"/>
  <c r="D15" i="7"/>
  <c r="D14" i="7"/>
  <c r="D13" i="7"/>
  <c r="D12" i="7"/>
  <c r="D11" i="7"/>
  <c r="E10" i="7"/>
  <c r="D10" i="7"/>
  <c r="D9" i="7"/>
  <c r="D8" i="7"/>
  <c r="D7" i="7"/>
  <c r="E38" i="3"/>
  <c r="E39" i="3"/>
  <c r="E40" i="3"/>
  <c r="E41" i="3"/>
  <c r="B51" i="3" s="1" a="1"/>
  <c r="B51" i="3" s="1"/>
  <c r="E42" i="3"/>
  <c r="E43" i="3"/>
  <c r="E44" i="3"/>
  <c r="E45" i="3"/>
  <c r="E37" i="3"/>
  <c r="C46" i="3"/>
  <c r="B50" i="3" s="1"/>
  <c r="B46" i="3"/>
  <c r="D45" i="3"/>
  <c r="D44" i="3"/>
  <c r="D43" i="3"/>
  <c r="D42" i="3"/>
  <c r="D41" i="3"/>
  <c r="D40" i="3"/>
  <c r="D39" i="3"/>
  <c r="D38" i="3"/>
  <c r="D37" i="3"/>
  <c r="F22" i="5"/>
  <c r="F23" i="5"/>
  <c r="F24" i="5"/>
  <c r="F25" i="5"/>
  <c r="F26" i="5"/>
  <c r="F27" i="5"/>
  <c r="F28" i="5"/>
  <c r="F29" i="5"/>
  <c r="F21" i="5"/>
  <c r="E8" i="7" l="1"/>
  <c r="E14" i="7"/>
  <c r="E12" i="7"/>
  <c r="E7" i="8"/>
  <c r="E9" i="8"/>
  <c r="E11" i="8"/>
  <c r="E13" i="8"/>
  <c r="E7" i="7"/>
  <c r="E9" i="7"/>
  <c r="E11" i="7"/>
  <c r="E13" i="7"/>
  <c r="B28" i="3" l="1"/>
  <c r="B24" i="3"/>
  <c r="C16" i="3"/>
  <c r="B16" i="3"/>
  <c r="D15" i="3"/>
  <c r="D14" i="3"/>
  <c r="D13" i="3"/>
  <c r="D12" i="3"/>
  <c r="D11" i="3"/>
  <c r="D10" i="3"/>
  <c r="D9" i="3"/>
  <c r="D8" i="3"/>
  <c r="D7" i="3"/>
  <c r="E29" i="5" l="1"/>
  <c r="E28" i="5"/>
  <c r="E27" i="5"/>
  <c r="E26" i="5"/>
  <c r="E25" i="5"/>
  <c r="E24" i="5"/>
  <c r="E23" i="5"/>
  <c r="E22" i="5"/>
  <c r="E21" i="5"/>
  <c r="E15" i="3" l="1"/>
  <c r="E14" i="3"/>
  <c r="E12" i="3"/>
  <c r="E10" i="3"/>
  <c r="E8" i="3"/>
  <c r="E13" i="3"/>
  <c r="E11" i="3"/>
  <c r="E9" i="3"/>
  <c r="E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<sst xmlns="http://schemas.openxmlformats.org/spreadsheetml/2006/main" count="524" uniqueCount="203">
  <si>
    <t>DATA EXCHANGE SCHEMA</t>
  </si>
  <si>
    <t>methodology between EnergyScope Pathway-BO (long-term multi-energy capacity expansion)</t>
  </si>
  <si>
    <t>and PyPSA-BO (hourly electricity dispatch and infrastructure expansion).</t>
  </si>
  <si>
    <t>Phase 1 - Iterative Convergence:</t>
  </si>
  <si>
    <t>Phase 2 - Capacity Expansion (if lost_load &gt; 0):</t>
  </si>
  <si>
    <t>Current implementation uses manual data transfer via this Excel template.</t>
  </si>
  <si>
    <t>• Capacities: MW (Megawatts)</t>
  </si>
  <si>
    <t>• Generation/Energy: MWh (Megawatt-hours)</t>
  </si>
  <si>
    <t>• Missing values: Leave cell empty or use NA</t>
  </si>
  <si>
    <t>Variable</t>
  </si>
  <si>
    <t>Data Type</t>
  </si>
  <si>
    <t>Units</t>
  </si>
  <si>
    <t>Classification</t>
  </si>
  <si>
    <t>Direction</t>
  </si>
  <si>
    <t>Description</t>
  </si>
  <si>
    <t>Source Model</t>
  </si>
  <si>
    <t>Technology</t>
  </si>
  <si>
    <t>string</t>
  </si>
  <si>
    <t>-</t>
  </si>
  <si>
    <t>TRANSFER</t>
  </si>
  <si>
    <t>ESPT→PyPSA</t>
  </si>
  <si>
    <t>Unique technology identifier (e.g., CCGT, PV, Wind)</t>
  </si>
  <si>
    <t>EnergyScope Pathway</t>
  </si>
  <si>
    <t>F</t>
  </si>
  <si>
    <t>float</t>
  </si>
  <si>
    <t>MW</t>
  </si>
  <si>
    <t>F_year</t>
  </si>
  <si>
    <t>MWh</t>
  </si>
  <si>
    <t>Annual electricity generation from ESPT</t>
  </si>
  <si>
    <t>PyPSA→ESPT</t>
  </si>
  <si>
    <t>PyPSA</t>
  </si>
  <si>
    <t>espt_cp</t>
  </si>
  <si>
    <t>INDICATOR</t>
  </si>
  <si>
    <t>Calculated</t>
  </si>
  <si>
    <t>%</t>
  </si>
  <si>
    <t>Share of total electricity generation (0-100%)</t>
  </si>
  <si>
    <t>generation_diff_pct</t>
  </si>
  <si>
    <t>Difference in generation between models</t>
  </si>
  <si>
    <t>max_diff_pct</t>
  </si>
  <si>
    <t>Maximum difference across all technologies</t>
  </si>
  <si>
    <t>Unserved energy (load shedding) in PyPSA</t>
  </si>
  <si>
    <t>lost_load_pct</t>
  </si>
  <si>
    <t>Lost load as percentage of total demand</t>
  </si>
  <si>
    <t>F_min</t>
  </si>
  <si>
    <t>Minimum capacity constraint (Phase 2: F becomes F_min)</t>
  </si>
  <si>
    <t>F_final</t>
  </si>
  <si>
    <t>Final optimized capacity after expansion</t>
  </si>
  <si>
    <t>cp_final</t>
  </si>
  <si>
    <t>Final capacity factor after expansion</t>
  </si>
  <si>
    <t>additional_capacity</t>
  </si>
  <si>
    <t>Additional capacity added (F_final - F_min)</t>
  </si>
  <si>
    <t>iteration_number</t>
  </si>
  <si>
    <t>integer</t>
  </si>
  <si>
    <t>METADATA</t>
  </si>
  <si>
    <t>Current iteration count</t>
  </si>
  <si>
    <t>Process</t>
  </si>
  <si>
    <t>convergence_status</t>
  </si>
  <si>
    <t>Status: converged/iterating/failed/expansion</t>
  </si>
  <si>
    <t>phase</t>
  </si>
  <si>
    <t>Current phase: iteration/expansion/final</t>
  </si>
  <si>
    <t>convergence_threshold</t>
  </si>
  <si>
    <t>PARAMETER</t>
  </si>
  <si>
    <t>Maximum acceptable difference for convergence</t>
  </si>
  <si>
    <t>User-defined</t>
  </si>
  <si>
    <t>max_iterations</t>
  </si>
  <si>
    <t>Maximum iterations before stopping</t>
  </si>
  <si>
    <t>F [MW]</t>
  </si>
  <si>
    <t>F_year [MWh]</t>
  </si>
  <si>
    <t>espt_cp [-]</t>
  </si>
  <si>
    <t>CCGT</t>
  </si>
  <si>
    <t>OCGT</t>
  </si>
  <si>
    <t>Diesel</t>
  </si>
  <si>
    <t>GFST</t>
  </si>
  <si>
    <t>Geothermal</t>
  </si>
  <si>
    <t>Wind</t>
  </si>
  <si>
    <t>PV</t>
  </si>
  <si>
    <t>Hydro_Dam</t>
  </si>
  <si>
    <t>Hydro_RoR</t>
  </si>
  <si>
    <t>STORAGE CAPACITIES</t>
  </si>
  <si>
    <t>Dam_storage</t>
  </si>
  <si>
    <t>Pumped_hydro</t>
  </si>
  <si>
    <t>Lithium_battery</t>
  </si>
  <si>
    <t>EV_battery</t>
  </si>
  <si>
    <t>generation_diff_pct [%]</t>
  </si>
  <si>
    <t>SYSTEM INDICATORS</t>
  </si>
  <si>
    <t>lost_load_pct [%]</t>
  </si>
  <si>
    <t>max_diff_pct [%]</t>
  </si>
  <si>
    <t>CONVERGENCE CHECK</t>
  </si>
  <si>
    <t>Phase 1 Converged?</t>
  </si>
  <si>
    <t>PHASE 2: CAPACITY EXPANSION (when lost_load &gt; 0)</t>
  </si>
  <si>
    <t>DESCRIPTION:</t>
  </si>
  <si>
    <t>When lost load exists after Phase 1 convergence, ESPT capacities become minimum</t>
  </si>
  <si>
    <t>constraints in PyPSA. PyPSA then optimizes additional capacity to eliminate lost load.</t>
  </si>
  <si>
    <t>INPUTS TO PYPSA (F becomes F_min)</t>
  </si>
  <si>
    <t>F_min [MW]</t>
  </si>
  <si>
    <t>Notes</t>
  </si>
  <si>
    <t>From ESPT Phase 1</t>
  </si>
  <si>
    <t>OUTPUTS FROM PYPSA (Final Optimized Values)</t>
  </si>
  <si>
    <t>F_final [MW]</t>
  </si>
  <si>
    <t>additional_capacity [MW]</t>
  </si>
  <si>
    <t>cp_final [-]</t>
  </si>
  <si>
    <t>VERIFICATION</t>
  </si>
  <si>
    <t>Expansion Successful?</t>
  </si>
  <si>
    <t>ITERATION TRACKING LOG</t>
  </si>
  <si>
    <t>iteration</t>
  </si>
  <si>
    <t>total_gen_espt</t>
  </si>
  <si>
    <t>total_gen_pypsa</t>
  </si>
  <si>
    <t>status</t>
  </si>
  <si>
    <t>iterating</t>
  </si>
  <si>
    <t>Initial run - significant VRE curtailment</t>
  </si>
  <si>
    <t>Adjusted capacity constraints</t>
  </si>
  <si>
    <t>N</t>
  </si>
  <si>
    <t>&lt;10%</t>
  </si>
  <si>
    <t>converged</t>
  </si>
  <si>
    <t>Phase 1 complete</t>
  </si>
  <si>
    <t>N+1</t>
  </si>
  <si>
    <t>expansion</t>
  </si>
  <si>
    <t>final</t>
  </si>
  <si>
    <t>CONVERGENCE PARAMETERS</t>
  </si>
  <si>
    <t>Parameter</t>
  </si>
  <si>
    <t>Value</t>
  </si>
  <si>
    <t>Unit</t>
  </si>
  <si>
    <t>Max generation difference for Phase 1 convergence</t>
  </si>
  <si>
    <t>Bi-directional soft-linking between EnergyScope Pathway-BO and PyPSA-BO</t>
  </si>
  <si>
    <t>Research Team - Centro Universitario de Investigaciones en Energías (CUIE-UMSS) / Pablo Jimenez Zabalaga y Carlos Fernandez Vazquez</t>
  </si>
  <si>
    <t>VERSION:</t>
  </si>
  <si>
    <t>DATE:</t>
  </si>
  <si>
    <t>AUTHORS:</t>
  </si>
  <si>
    <t>PURPOSE:</t>
  </si>
  <si>
    <t>This workbook defines a data exchange schema for the iterative soft-linking</t>
  </si>
  <si>
    <t>METHODOLOGY OVERVIEW:</t>
  </si>
  <si>
    <t>EnergyScope Pathway determines installed capacities → PyPSA validates them</t>
  </si>
  <si>
    <t>PyPSA returns capacity factors →   EnergyScope Pathway adjusts capacity planning</t>
  </si>
  <si>
    <t>Iterate until generation difference &lt; 10% per technology</t>
  </si>
  <si>
    <t>EnergyScope Pathway capacities become MINIMUM constraints in PyPSA</t>
  </si>
  <si>
    <t>PyPSA optimizes additional capacity to eliminate lost load</t>
  </si>
  <si>
    <t>Final capacities and capacity factors returned to EnergyScope Pathway</t>
  </si>
  <si>
    <t>SHEET DESCRIPTIONS:</t>
  </si>
  <si>
    <t>VARIABLE CLASSIFICATION:</t>
  </si>
  <si>
    <t>SCALABILITY NOTE:</t>
  </si>
  <si>
    <t>For larger systems (&gt;20 technologies) or more complex exchanges, consider script integration between models</t>
  </si>
  <si>
    <r>
      <t>• Emissions: ktonCO</t>
    </r>
    <r>
      <rPr>
        <vertAlign val="subscript"/>
        <sz val="11"/>
        <rFont val="Cambria"/>
        <family val="1"/>
        <scheme val="major"/>
      </rPr>
      <t>2</t>
    </r>
    <r>
      <rPr>
        <sz val="11"/>
        <rFont val="Cambria"/>
        <family val="1"/>
        <scheme val="major"/>
      </rPr>
      <t xml:space="preserve"> (kilotonnes CO</t>
    </r>
    <r>
      <rPr>
        <vertAlign val="subscript"/>
        <sz val="11"/>
        <rFont val="Cambria"/>
        <family val="1"/>
        <scheme val="major"/>
      </rPr>
      <t>2</t>
    </r>
    <r>
      <rPr>
        <sz val="11"/>
        <rFont val="Cambria"/>
        <family val="1"/>
        <scheme val="major"/>
      </rPr>
      <t xml:space="preserve"> equivalent)</t>
    </r>
  </si>
  <si>
    <t>EnergyScope Pathway (Calculated)</t>
  </si>
  <si>
    <t>PyPSA (Calculated)</t>
  </si>
  <si>
    <t>Capacity factor by technology from ESPT outputs (0-1)</t>
  </si>
  <si>
    <t>Capacity factor by technology from PyPSA outputs (0-1)</t>
  </si>
  <si>
    <t>pypsa_generation</t>
  </si>
  <si>
    <t>avail_fossil_gas</t>
  </si>
  <si>
    <t>avail_diesel</t>
  </si>
  <si>
    <t>avail_biomass_residues</t>
  </si>
  <si>
    <t>electric_emission_budget</t>
  </si>
  <si>
    <t>total_storage_capacity</t>
  </si>
  <si>
    <t>pypsa_capacity [MW]</t>
  </si>
  <si>
    <t>pypsa_generation [MWh]</t>
  </si>
  <si>
    <t>pypsa_cp [-]</t>
  </si>
  <si>
    <t>pypsa_capacity</t>
  </si>
  <si>
    <t>pypsa_cp</t>
  </si>
  <si>
    <t>espt_generation_share [%]</t>
  </si>
  <si>
    <t>espt_generation_share</t>
  </si>
  <si>
    <t>Installed generation capacity from capacity expansion in ESPT</t>
  </si>
  <si>
    <t>Installed generation capacity from capacity expansion in PyPSA</t>
  </si>
  <si>
    <t>Total</t>
  </si>
  <si>
    <t>avail_fossil_gas [MWh]</t>
  </si>
  <si>
    <t>avail_diesel [MWh]</t>
  </si>
  <si>
    <t>avail_biomass_residues [MWh]</t>
  </si>
  <si>
    <t>Hydro Dam</t>
  </si>
  <si>
    <t>Hydro RoR</t>
  </si>
  <si>
    <t>Annual electricity generation from PyPSA</t>
  </si>
  <si>
    <t>POWER PLANT CAPACITIES</t>
  </si>
  <si>
    <t>BOUNDARY CONDITIONS</t>
  </si>
  <si>
    <t>F [MWh]</t>
  </si>
  <si>
    <t>PYPSA DISPATCH RESULTS</t>
  </si>
  <si>
    <t>Total storage energy capacity from ESPT</t>
  </si>
  <si>
    <t>Annual emission budget for electricity sector in ESPT</t>
  </si>
  <si>
    <t>Maximum fossil gas availability for electricity generation in ESPT</t>
  </si>
  <si>
    <t>Maximum diesel availability for electricity generation in ESPT</t>
  </si>
  <si>
    <t>Maximum biomass residues availability for electricity generation in ESPT</t>
  </si>
  <si>
    <t>lost_load [MWh]</t>
  </si>
  <si>
    <t>lost_load</t>
  </si>
  <si>
    <r>
      <t>electric_emission_budget [ktonCO</t>
    </r>
    <r>
      <rPr>
        <vertAlign val="subscript"/>
        <sz val="11"/>
        <color theme="1"/>
        <rFont val="Cambria"/>
        <family val="1"/>
        <scheme val="major"/>
      </rPr>
      <t>2</t>
    </r>
    <r>
      <rPr>
        <sz val="11"/>
        <color theme="1"/>
        <rFont val="Cambria"/>
        <family val="1"/>
        <scheme val="major"/>
      </rPr>
      <t>]</t>
    </r>
  </si>
  <si>
    <r>
      <t>ktonCO</t>
    </r>
    <r>
      <rPr>
        <vertAlign val="subscript"/>
        <sz val="11"/>
        <color theme="1"/>
        <rFont val="Cambria"/>
        <family val="1"/>
        <scheme val="major"/>
      </rPr>
      <t>2</t>
    </r>
  </si>
  <si>
    <t>F_year_final [MW]</t>
  </si>
  <si>
    <t>PHASE 1 - ITERATION 1</t>
  </si>
  <si>
    <t>ENERGYSCOPE PATHWAY TO PYPSA</t>
  </si>
  <si>
    <t>PYPSA TO ENERGYSCOPE PATHWAY</t>
  </si>
  <si>
    <t>Continue to Phase 2?</t>
  </si>
  <si>
    <t>F_year_final</t>
  </si>
  <si>
    <t>Final annual electricity generation after expansion</t>
  </si>
  <si>
    <t>Total annual electricity generation from ESPT</t>
  </si>
  <si>
    <t>Total annual electricity generation from PyPSA</t>
  </si>
  <si>
    <t>Phase</t>
  </si>
  <si>
    <t>Phase 1</t>
  </si>
  <si>
    <t>Phase 2</t>
  </si>
  <si>
    <t>• TRANSFER (green)          - Variables exchanged between models</t>
  </si>
  <si>
    <t>• INDICATOR (yellow)      - Calculated metrics for monitoring only</t>
  </si>
  <si>
    <t>• PARAMETER                     - User-defined configuration values</t>
  </si>
  <si>
    <t>• METADATA                       - Process tracking information</t>
  </si>
  <si>
    <t>Phase 2 complete</t>
  </si>
  <si>
    <t>• PHASE 2                                                                                            - Phase 2: Expansion when lost load exists</t>
  </si>
  <si>
    <t>• SCHEMA_DEFINITION                                                                  - Data dictionary with variable classifications</t>
  </si>
  <si>
    <t>• ITERATION_LOG                                                                            - Tracking template for convergence process</t>
  </si>
  <si>
    <r>
      <t xml:space="preserve">• PHASE 1 (PHASE 1_1, PHASE 1_2, ….....,  PHASE 1_N)         </t>
    </r>
    <r>
      <rPr>
        <sz val="8"/>
        <rFont val="Cambria"/>
        <family val="1"/>
        <scheme val="major"/>
      </rPr>
      <t xml:space="preserve"> </t>
    </r>
    <r>
      <rPr>
        <sz val="11"/>
        <rFont val="Cambria"/>
        <family val="1"/>
        <scheme val="major"/>
      </rPr>
      <t>- Phase 1: Data flow from models</t>
    </r>
  </si>
  <si>
    <t>DATA FORMAT CONVENTIONS: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</si>
</sst>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0"/>
  </numFmts>
  <fonts count="13" x14ac:knownFonts="1">
    <font>
      <sz val="11"/>
      <color theme="1"/>
      <name val="Calibri"/>
      <family val="2"/>
      <charset val="1"/>
    </font>
    <font>
      <b/>
      <sz val="11"/>
      <name val="Cambria"/>
      <family val="1"/>
      <scheme val="major"/>
    </font>
    <font>
      <sz val="11"/>
      <color theme="1"/>
      <name val="Cambria"/>
      <family val="1"/>
      <scheme val="major"/>
    </font>
    <font>
      <i/>
      <sz val="11"/>
      <color theme="1"/>
      <name val="Cambria"/>
      <family val="1"/>
      <scheme val="major"/>
    </font>
    <font>
      <sz val="11"/>
      <name val="Cambria"/>
      <family val="1"/>
      <scheme val="major"/>
    </font>
    <font>
      <vertAlign val="subscript"/>
      <sz val="11"/>
      <name val="Cambria"/>
      <family val="1"/>
      <scheme val="major"/>
    </font>
    <font>
      <b/>
      <sz val="13"/>
      <name val="Cambria"/>
      <family val="1"/>
      <scheme val="major"/>
    </font>
    <font>
      <b/>
      <sz val="12"/>
      <name val="Cambria"/>
      <family val="1"/>
      <scheme val="major"/>
    </font>
    <font>
      <vertAlign val="subscript"/>
      <sz val="11"/>
      <color theme="1"/>
      <name val="Cambria"/>
      <family val="1"/>
      <scheme val="major"/>
    </font>
    <font>
      <b/>
      <sz val="11"/>
      <color rgb="FFFFFFFF"/>
      <name val="Cambria"/>
      <family val="1"/>
      <scheme val="major"/>
    </font>
    <font>
      <sz val="13"/>
      <color theme="1"/>
      <name val="Cambria"/>
      <family val="1"/>
      <scheme val="major"/>
    </font>
    <font>
      <sz val="8"/>
      <name val="Calibri"/>
      <family val="2"/>
      <charset val="1"/>
    </font>
    <font>
      <sz val="8"/>
      <name val="Cambria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4472C4"/>
        <bgColor rgb="FF666699"/>
      </patternFill>
    </fill>
    <fill>
      <patternFill patternType="solid">
        <fgColor rgb="FFC6EFCE"/>
        <bgColor rgb="FFD9E2F3"/>
      </patternFill>
    </fill>
    <fill>
      <patternFill patternType="solid">
        <fgColor rgb="FFFFF2CC"/>
        <bgColor rgb="FFFFFFFF"/>
      </patternFill>
    </fill>
    <fill>
      <patternFill patternType="solid">
        <fgColor rgb="FFD9E2F3"/>
        <bgColor rgb="FFC6EFCE"/>
      </patternFill>
    </fill>
    <fill>
      <patternFill patternType="solid">
        <fgColor rgb="FFFFC000"/>
        <bgColor rgb="FFFF99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164" fontId="2" fillId="0" borderId="0" xfId="0" applyNumberFormat="1" applyFont="1" applyAlignment="1">
      <alignment horizontal="left"/>
    </xf>
    <xf numFmtId="1" fontId="2" fillId="0" borderId="0" xfId="0" applyNumberFormat="1" applyFont="1" applyAlignment="1">
      <alignment horizontal="lef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2" fontId="4" fillId="4" borderId="1" xfId="0" applyNumberFormat="1" applyFon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10" fontId="4" fillId="4" borderId="1" xfId="0" applyNumberFormat="1" applyFont="1" applyFill="1" applyBorder="1" applyAlignment="1">
      <alignment horizontal="right"/>
    </xf>
    <xf numFmtId="0" fontId="2" fillId="0" borderId="1" xfId="0" applyFont="1" applyBorder="1"/>
    <xf numFmtId="2" fontId="2" fillId="0" borderId="1" xfId="0" applyNumberFormat="1" applyFont="1" applyBorder="1"/>
    <xf numFmtId="0" fontId="2" fillId="4" borderId="1" xfId="0" applyFont="1" applyFill="1" applyBorder="1"/>
    <xf numFmtId="2" fontId="2" fillId="4" borderId="1" xfId="0" applyNumberFormat="1" applyFont="1" applyFill="1" applyBorder="1"/>
    <xf numFmtId="10" fontId="2" fillId="4" borderId="1" xfId="0" applyNumberFormat="1" applyFont="1" applyFill="1" applyBorder="1"/>
    <xf numFmtId="0" fontId="2" fillId="0" borderId="1" xfId="0" applyFont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2" fontId="4" fillId="3" borderId="1" xfId="0" applyNumberFormat="1" applyFont="1" applyFill="1" applyBorder="1" applyAlignment="1">
      <alignment horizontal="right"/>
    </xf>
    <xf numFmtId="165" fontId="4" fillId="4" borderId="1" xfId="0" applyNumberFormat="1" applyFont="1" applyFill="1" applyBorder="1" applyAlignment="1">
      <alignment horizontal="right"/>
    </xf>
    <xf numFmtId="0" fontId="2" fillId="0" borderId="0" xfId="0" applyFon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horizontal="center"/>
    </xf>
    <xf numFmtId="0" fontId="4" fillId="3" borderId="1" xfId="0" applyFont="1" applyFill="1" applyBorder="1"/>
    <xf numFmtId="2" fontId="4" fillId="3" borderId="1" xfId="0" applyNumberFormat="1" applyFont="1" applyFill="1" applyBorder="1"/>
    <xf numFmtId="0" fontId="2" fillId="3" borderId="1" xfId="0" applyFont="1" applyFill="1" applyBorder="1"/>
    <xf numFmtId="2" fontId="2" fillId="3" borderId="1" xfId="0" applyNumberFormat="1" applyFont="1" applyFill="1" applyBorder="1"/>
    <xf numFmtId="0" fontId="9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4" borderId="1" xfId="0" applyFont="1" applyFill="1" applyBorder="1"/>
    <xf numFmtId="0" fontId="1" fillId="0" borderId="1" xfId="0" applyFont="1" applyBorder="1"/>
    <xf numFmtId="0" fontId="10" fillId="0" borderId="0" xfId="0" applyFont="1"/>
    <xf numFmtId="0" fontId="1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164" fontId="4" fillId="4" borderId="1" xfId="0" applyNumberFormat="1" applyFont="1" applyFill="1" applyBorder="1" applyAlignment="1">
      <alignment horizontal="right"/>
    </xf>
    <xf numFmtId="0" fontId="9" fillId="2" borderId="1" xfId="0" applyFont="1" applyFill="1" applyBorder="1"/>
    <xf numFmtId="0" fontId="2" fillId="0" borderId="1" xfId="0" applyFont="1" applyBorder="1" applyAlignment="1">
      <alignment horizontal="right"/>
    </xf>
    <xf numFmtId="10" fontId="2" fillId="0" borderId="1" xfId="0" applyNumberFormat="1" applyFont="1" applyBorder="1"/>
    <xf numFmtId="0" fontId="2" fillId="4" borderId="1" xfId="0" applyFont="1" applyFill="1" applyBorder="1" applyAlignment="1">
      <alignment horizontal="right"/>
    </xf>
    <xf numFmtId="0" fontId="9" fillId="2" borderId="1" xfId="0" applyFont="1" applyFill="1" applyBorder="1" applyAlignment="1"/>
    <xf numFmtId="2" fontId="1" fillId="4" borderId="1" xfId="0" applyNumberFormat="1" applyFont="1" applyFill="1" applyBorder="1" applyAlignment="1"/>
    <xf numFmtId="0" fontId="2" fillId="0" borderId="1" xfId="0" applyFont="1" applyBorder="1" applyAlignment="1">
      <alignment horizontal="center"/>
    </xf>
    <xf numFmtId="0" fontId="6" fillId="5" borderId="0" xfId="0" applyFont="1" applyFill="1" applyBorder="1"/>
    <xf numFmtId="0" fontId="7" fillId="0" borderId="1" xfId="0" applyFont="1" applyFill="1" applyBorder="1"/>
    <xf numFmtId="0" fontId="6" fillId="5" borderId="0" xfId="0" applyFont="1" applyFill="1" applyBorder="1" applyAlignment="1">
      <alignment horizontal="left"/>
    </xf>
    <xf numFmtId="0" fontId="6" fillId="6" borderId="0" xfId="0" applyFont="1" applyFill="1" applyBorder="1"/>
    <xf numFmtId="0" fontId="7" fillId="0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3"/>
  <sheetViews>
    <sheetView tabSelected="1" zoomScaleNormal="100" workbookViewId="0">
      <selection activeCell="B31" sqref="B31"/>
    </sheetView>
  </sheetViews>
  <sheetFormatPr baseColWidth="10" defaultColWidth="8.6640625" defaultRowHeight="13.8" x14ac:dyDescent="0.25"/>
  <cols>
    <col min="1" max="1" width="30.44140625" style="4" customWidth="1"/>
    <col min="2" max="2" width="121.33203125" style="4" bestFit="1" customWidth="1"/>
    <col min="3" max="16384" width="8.6640625" style="4"/>
  </cols>
  <sheetData>
    <row r="1" spans="1:2" x14ac:dyDescent="0.25">
      <c r="A1" s="1" t="s">
        <v>0</v>
      </c>
    </row>
    <row r="2" spans="1:2" x14ac:dyDescent="0.25">
      <c r="A2" s="1" t="s">
        <v>123</v>
      </c>
    </row>
    <row r="4" spans="1:2" x14ac:dyDescent="0.25">
      <c r="A4" s="1" t="s">
        <v>125</v>
      </c>
      <c r="B4" s="2">
        <v>1.1000000000000001</v>
      </c>
    </row>
    <row r="5" spans="1:2" x14ac:dyDescent="0.25">
      <c r="A5" s="1" t="s">
        <v>126</v>
      </c>
      <c r="B5" s="3">
        <v>2026</v>
      </c>
    </row>
    <row r="6" spans="1:2" x14ac:dyDescent="0.25">
      <c r="A6" s="1" t="s">
        <v>127</v>
      </c>
      <c r="B6" s="4" t="s">
        <v>124</v>
      </c>
    </row>
    <row r="8" spans="1:2" x14ac:dyDescent="0.25">
      <c r="A8" s="1" t="s">
        <v>128</v>
      </c>
      <c r="B8" s="4" t="s">
        <v>129</v>
      </c>
    </row>
    <row r="9" spans="1:2" x14ac:dyDescent="0.25">
      <c r="B9" s="4" t="s">
        <v>1</v>
      </c>
    </row>
    <row r="10" spans="1:2" x14ac:dyDescent="0.25">
      <c r="B10" s="4" t="s">
        <v>2</v>
      </c>
    </row>
    <row r="12" spans="1:2" x14ac:dyDescent="0.25">
      <c r="A12" s="1" t="s">
        <v>130</v>
      </c>
    </row>
    <row r="13" spans="1:2" x14ac:dyDescent="0.25">
      <c r="B13" s="5" t="s">
        <v>3</v>
      </c>
    </row>
    <row r="14" spans="1:2" x14ac:dyDescent="0.25">
      <c r="B14" s="4" t="s">
        <v>131</v>
      </c>
    </row>
    <row r="15" spans="1:2" x14ac:dyDescent="0.25">
      <c r="B15" s="4" t="s">
        <v>132</v>
      </c>
    </row>
    <row r="16" spans="1:2" x14ac:dyDescent="0.25">
      <c r="B16" s="4" t="s">
        <v>133</v>
      </c>
    </row>
    <row r="18" spans="1:2" x14ac:dyDescent="0.25">
      <c r="B18" s="5" t="s">
        <v>4</v>
      </c>
    </row>
    <row r="19" spans="1:2" x14ac:dyDescent="0.25">
      <c r="B19" s="4" t="s">
        <v>134</v>
      </c>
    </row>
    <row r="20" spans="1:2" x14ac:dyDescent="0.25">
      <c r="B20" s="4" t="s">
        <v>135</v>
      </c>
    </row>
    <row r="21" spans="1:2" x14ac:dyDescent="0.25">
      <c r="B21" s="4" t="s">
        <v>136</v>
      </c>
    </row>
    <row r="23" spans="1:2" x14ac:dyDescent="0.25">
      <c r="A23" s="1" t="s">
        <v>137</v>
      </c>
    </row>
    <row r="24" spans="1:2" x14ac:dyDescent="0.25">
      <c r="B24" s="6" t="s">
        <v>199</v>
      </c>
    </row>
    <row r="25" spans="1:2" x14ac:dyDescent="0.25">
      <c r="B25" s="6" t="s">
        <v>201</v>
      </c>
    </row>
    <row r="26" spans="1:2" x14ac:dyDescent="0.25">
      <c r="B26" s="6" t="s">
        <v>198</v>
      </c>
    </row>
    <row r="27" spans="1:2" x14ac:dyDescent="0.25">
      <c r="B27" s="6" t="s">
        <v>200</v>
      </c>
    </row>
    <row r="29" spans="1:2" x14ac:dyDescent="0.25">
      <c r="A29" s="1" t="s">
        <v>138</v>
      </c>
    </row>
    <row r="30" spans="1:2" x14ac:dyDescent="0.25">
      <c r="B30" s="6" t="s">
        <v>193</v>
      </c>
    </row>
    <row r="31" spans="1:2" x14ac:dyDescent="0.25">
      <c r="B31" s="6" t="s">
        <v>194</v>
      </c>
    </row>
    <row r="32" spans="1:2" x14ac:dyDescent="0.25">
      <c r="B32" s="6" t="s">
        <v>195</v>
      </c>
    </row>
    <row r="33" spans="1:2" x14ac:dyDescent="0.25">
      <c r="B33" s="6" t="s">
        <v>196</v>
      </c>
    </row>
    <row r="35" spans="1:2" x14ac:dyDescent="0.25">
      <c r="A35" s="1" t="s">
        <v>139</v>
      </c>
    </row>
    <row r="36" spans="1:2" x14ac:dyDescent="0.25">
      <c r="B36" s="4" t="s">
        <v>5</v>
      </c>
    </row>
    <row r="37" spans="1:2" x14ac:dyDescent="0.25">
      <c r="B37" s="4" t="s">
        <v>140</v>
      </c>
    </row>
    <row r="39" spans="1:2" x14ac:dyDescent="0.25">
      <c r="A39" s="1" t="s">
        <v>202</v>
      </c>
    </row>
    <row r="40" spans="1:2" x14ac:dyDescent="0.25">
      <c r="B40" s="6" t="s">
        <v>6</v>
      </c>
    </row>
    <row r="41" spans="1:2" x14ac:dyDescent="0.25">
      <c r="B41" s="6" t="s">
        <v>7</v>
      </c>
    </row>
    <row r="42" spans="1:2" ht="16.2" x14ac:dyDescent="0.35">
      <c r="B42" s="6" t="s">
        <v>141</v>
      </c>
    </row>
    <row r="43" spans="1:2" x14ac:dyDescent="0.25">
      <c r="B43" s="6" t="s">
        <v>8</v>
      </c>
    </row>
  </sheetData>
  <pageMargins left="0.75" right="0.75" top="1" bottom="1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zoomScaleNormal="100" workbookViewId="0">
      <selection activeCell="B23" sqref="B23"/>
    </sheetView>
  </sheetViews>
  <sheetFormatPr baseColWidth="10" defaultColWidth="8.6640625" defaultRowHeight="13.8" x14ac:dyDescent="0.25"/>
  <cols>
    <col min="1" max="1" width="8.6640625" style="4"/>
    <col min="2" max="2" width="25" style="4" customWidth="1"/>
    <col min="3" max="3" width="10.6640625" style="4" bestFit="1" customWidth="1"/>
    <col min="4" max="4" width="10" style="4" customWidth="1"/>
    <col min="5" max="6" width="15" style="4" customWidth="1"/>
    <col min="7" max="7" width="60.21875" style="4" bestFit="1" customWidth="1"/>
    <col min="8" max="8" width="31.44140625" style="4" bestFit="1" customWidth="1"/>
    <col min="9" max="16384" width="8.6640625" style="4"/>
  </cols>
  <sheetData>
    <row r="1" spans="1:8" x14ac:dyDescent="0.25">
      <c r="A1" s="31" t="s">
        <v>190</v>
      </c>
      <c r="B1" s="31" t="s">
        <v>9</v>
      </c>
      <c r="C1" s="31" t="s">
        <v>10</v>
      </c>
      <c r="D1" s="31" t="s">
        <v>11</v>
      </c>
      <c r="E1" s="31" t="s">
        <v>12</v>
      </c>
      <c r="F1" s="31" t="s">
        <v>13</v>
      </c>
      <c r="G1" s="31" t="s">
        <v>14</v>
      </c>
      <c r="H1" s="31" t="s">
        <v>15</v>
      </c>
    </row>
    <row r="2" spans="1:8" x14ac:dyDescent="0.25">
      <c r="A2" s="29" t="s">
        <v>191</v>
      </c>
      <c r="B2" s="29" t="s">
        <v>16</v>
      </c>
      <c r="C2" s="29" t="s">
        <v>17</v>
      </c>
      <c r="D2" s="29" t="s">
        <v>18</v>
      </c>
      <c r="E2" s="29" t="s">
        <v>19</v>
      </c>
      <c r="F2" s="29" t="s">
        <v>20</v>
      </c>
      <c r="G2" s="29" t="s">
        <v>21</v>
      </c>
      <c r="H2" s="29" t="s">
        <v>22</v>
      </c>
    </row>
    <row r="3" spans="1:8" x14ac:dyDescent="0.25">
      <c r="A3" s="29" t="s">
        <v>191</v>
      </c>
      <c r="B3" s="29" t="s">
        <v>23</v>
      </c>
      <c r="C3" s="29" t="s">
        <v>24</v>
      </c>
      <c r="D3" s="29" t="s">
        <v>25</v>
      </c>
      <c r="E3" s="29" t="s">
        <v>19</v>
      </c>
      <c r="F3" s="29" t="s">
        <v>20</v>
      </c>
      <c r="G3" s="29" t="s">
        <v>159</v>
      </c>
      <c r="H3" s="29" t="s">
        <v>22</v>
      </c>
    </row>
    <row r="4" spans="1:8" x14ac:dyDescent="0.25">
      <c r="A4" s="29" t="s">
        <v>191</v>
      </c>
      <c r="B4" s="29" t="s">
        <v>26</v>
      </c>
      <c r="C4" s="29" t="s">
        <v>24</v>
      </c>
      <c r="D4" s="29" t="s">
        <v>27</v>
      </c>
      <c r="E4" s="29" t="s">
        <v>19</v>
      </c>
      <c r="F4" s="29" t="s">
        <v>20</v>
      </c>
      <c r="G4" s="29" t="s">
        <v>28</v>
      </c>
      <c r="H4" s="29" t="s">
        <v>22</v>
      </c>
    </row>
    <row r="5" spans="1:8" x14ac:dyDescent="0.25">
      <c r="A5" s="29" t="s">
        <v>191</v>
      </c>
      <c r="B5" s="29" t="s">
        <v>105</v>
      </c>
      <c r="C5" s="29" t="s">
        <v>24</v>
      </c>
      <c r="D5" s="29" t="s">
        <v>27</v>
      </c>
      <c r="E5" s="29" t="s">
        <v>19</v>
      </c>
      <c r="F5" s="29" t="s">
        <v>20</v>
      </c>
      <c r="G5" s="29" t="s">
        <v>188</v>
      </c>
      <c r="H5" s="29" t="s">
        <v>142</v>
      </c>
    </row>
    <row r="6" spans="1:8" x14ac:dyDescent="0.25">
      <c r="A6" s="29" t="s">
        <v>191</v>
      </c>
      <c r="B6" s="29" t="s">
        <v>151</v>
      </c>
      <c r="C6" s="29" t="s">
        <v>24</v>
      </c>
      <c r="D6" s="29" t="s">
        <v>27</v>
      </c>
      <c r="E6" s="29" t="s">
        <v>19</v>
      </c>
      <c r="F6" s="29" t="s">
        <v>20</v>
      </c>
      <c r="G6" s="29" t="s">
        <v>172</v>
      </c>
      <c r="H6" s="29" t="s">
        <v>142</v>
      </c>
    </row>
    <row r="7" spans="1:8" ht="16.2" x14ac:dyDescent="0.35">
      <c r="A7" s="29" t="s">
        <v>191</v>
      </c>
      <c r="B7" s="29" t="s">
        <v>150</v>
      </c>
      <c r="C7" s="29" t="s">
        <v>24</v>
      </c>
      <c r="D7" s="29" t="s">
        <v>180</v>
      </c>
      <c r="E7" s="29" t="s">
        <v>19</v>
      </c>
      <c r="F7" s="29" t="s">
        <v>20</v>
      </c>
      <c r="G7" s="29" t="s">
        <v>173</v>
      </c>
      <c r="H7" s="29" t="s">
        <v>142</v>
      </c>
    </row>
    <row r="8" spans="1:8" x14ac:dyDescent="0.25">
      <c r="A8" s="29" t="s">
        <v>191</v>
      </c>
      <c r="B8" s="29" t="s">
        <v>147</v>
      </c>
      <c r="C8" s="29" t="s">
        <v>24</v>
      </c>
      <c r="D8" s="29" t="s">
        <v>27</v>
      </c>
      <c r="E8" s="29" t="s">
        <v>19</v>
      </c>
      <c r="F8" s="29" t="s">
        <v>20</v>
      </c>
      <c r="G8" s="29" t="s">
        <v>174</v>
      </c>
      <c r="H8" s="29" t="s">
        <v>22</v>
      </c>
    </row>
    <row r="9" spans="1:8" x14ac:dyDescent="0.25">
      <c r="A9" s="29" t="s">
        <v>191</v>
      </c>
      <c r="B9" s="29" t="s">
        <v>148</v>
      </c>
      <c r="C9" s="29" t="s">
        <v>24</v>
      </c>
      <c r="D9" s="29" t="s">
        <v>27</v>
      </c>
      <c r="E9" s="29" t="s">
        <v>19</v>
      </c>
      <c r="F9" s="29" t="s">
        <v>20</v>
      </c>
      <c r="G9" s="29" t="s">
        <v>175</v>
      </c>
      <c r="H9" s="29" t="s">
        <v>22</v>
      </c>
    </row>
    <row r="10" spans="1:8" x14ac:dyDescent="0.25">
      <c r="A10" s="29" t="s">
        <v>191</v>
      </c>
      <c r="B10" s="29" t="s">
        <v>149</v>
      </c>
      <c r="C10" s="29" t="s">
        <v>24</v>
      </c>
      <c r="D10" s="29" t="s">
        <v>27</v>
      </c>
      <c r="E10" s="29" t="s">
        <v>19</v>
      </c>
      <c r="F10" s="29" t="s">
        <v>20</v>
      </c>
      <c r="G10" s="29" t="s">
        <v>176</v>
      </c>
      <c r="H10" s="29" t="s">
        <v>22</v>
      </c>
    </row>
    <row r="11" spans="1:8" x14ac:dyDescent="0.25">
      <c r="A11" s="29" t="s">
        <v>191</v>
      </c>
      <c r="B11" s="29" t="s">
        <v>156</v>
      </c>
      <c r="C11" s="29" t="s">
        <v>24</v>
      </c>
      <c r="D11" s="29" t="s">
        <v>18</v>
      </c>
      <c r="E11" s="29" t="s">
        <v>19</v>
      </c>
      <c r="F11" s="29" t="s">
        <v>29</v>
      </c>
      <c r="G11" s="29" t="s">
        <v>145</v>
      </c>
      <c r="H11" s="29" t="s">
        <v>143</v>
      </c>
    </row>
    <row r="12" spans="1:8" x14ac:dyDescent="0.25">
      <c r="A12" s="17" t="s">
        <v>191</v>
      </c>
      <c r="B12" s="17" t="s">
        <v>31</v>
      </c>
      <c r="C12" s="17" t="s">
        <v>24</v>
      </c>
      <c r="D12" s="17" t="s">
        <v>18</v>
      </c>
      <c r="E12" s="17" t="s">
        <v>32</v>
      </c>
      <c r="F12" s="17" t="s">
        <v>18</v>
      </c>
      <c r="G12" s="17" t="s">
        <v>144</v>
      </c>
      <c r="H12" s="17" t="s">
        <v>142</v>
      </c>
    </row>
    <row r="13" spans="1:8" x14ac:dyDescent="0.25">
      <c r="A13" s="17" t="s">
        <v>191</v>
      </c>
      <c r="B13" s="17" t="s">
        <v>158</v>
      </c>
      <c r="C13" s="17" t="s">
        <v>24</v>
      </c>
      <c r="D13" s="17" t="s">
        <v>34</v>
      </c>
      <c r="E13" s="17" t="s">
        <v>32</v>
      </c>
      <c r="F13" s="17" t="s">
        <v>18</v>
      </c>
      <c r="G13" s="17" t="s">
        <v>35</v>
      </c>
      <c r="H13" s="17" t="s">
        <v>142</v>
      </c>
    </row>
    <row r="14" spans="1:8" x14ac:dyDescent="0.25">
      <c r="A14" s="17" t="s">
        <v>191</v>
      </c>
      <c r="B14" s="17" t="s">
        <v>155</v>
      </c>
      <c r="C14" s="17" t="s">
        <v>24</v>
      </c>
      <c r="D14" s="17" t="s">
        <v>25</v>
      </c>
      <c r="E14" s="17" t="s">
        <v>32</v>
      </c>
      <c r="F14" s="17" t="s">
        <v>18</v>
      </c>
      <c r="G14" s="17" t="s">
        <v>160</v>
      </c>
      <c r="H14" s="17" t="s">
        <v>30</v>
      </c>
    </row>
    <row r="15" spans="1:8" x14ac:dyDescent="0.25">
      <c r="A15" s="17" t="s">
        <v>191</v>
      </c>
      <c r="B15" s="17" t="s">
        <v>146</v>
      </c>
      <c r="C15" s="17" t="s">
        <v>24</v>
      </c>
      <c r="D15" s="17" t="s">
        <v>27</v>
      </c>
      <c r="E15" s="17" t="s">
        <v>32</v>
      </c>
      <c r="F15" s="17" t="s">
        <v>18</v>
      </c>
      <c r="G15" s="17" t="s">
        <v>167</v>
      </c>
      <c r="H15" s="17" t="s">
        <v>30</v>
      </c>
    </row>
    <row r="16" spans="1:8" x14ac:dyDescent="0.25">
      <c r="A16" s="17" t="s">
        <v>191</v>
      </c>
      <c r="B16" s="17" t="s">
        <v>106</v>
      </c>
      <c r="C16" s="17" t="s">
        <v>24</v>
      </c>
      <c r="D16" s="17" t="s">
        <v>27</v>
      </c>
      <c r="E16" s="17" t="s">
        <v>32</v>
      </c>
      <c r="F16" s="17" t="s">
        <v>18</v>
      </c>
      <c r="G16" s="17" t="s">
        <v>189</v>
      </c>
      <c r="H16" s="17" t="s">
        <v>143</v>
      </c>
    </row>
    <row r="17" spans="1:8" x14ac:dyDescent="0.25">
      <c r="A17" s="17" t="s">
        <v>191</v>
      </c>
      <c r="B17" s="17" t="s">
        <v>178</v>
      </c>
      <c r="C17" s="17" t="s">
        <v>24</v>
      </c>
      <c r="D17" s="17" t="s">
        <v>27</v>
      </c>
      <c r="E17" s="17" t="s">
        <v>32</v>
      </c>
      <c r="F17" s="17" t="s">
        <v>18</v>
      </c>
      <c r="G17" s="17" t="s">
        <v>40</v>
      </c>
      <c r="H17" s="17" t="s">
        <v>30</v>
      </c>
    </row>
    <row r="18" spans="1:8" x14ac:dyDescent="0.25">
      <c r="A18" s="17" t="s">
        <v>191</v>
      </c>
      <c r="B18" s="17" t="s">
        <v>41</v>
      </c>
      <c r="C18" s="17" t="s">
        <v>24</v>
      </c>
      <c r="D18" s="17" t="s">
        <v>34</v>
      </c>
      <c r="E18" s="17" t="s">
        <v>32</v>
      </c>
      <c r="F18" s="17" t="s">
        <v>18</v>
      </c>
      <c r="G18" s="17" t="s">
        <v>42</v>
      </c>
      <c r="H18" s="17" t="s">
        <v>30</v>
      </c>
    </row>
    <row r="19" spans="1:8" x14ac:dyDescent="0.25">
      <c r="A19" s="17" t="s">
        <v>191</v>
      </c>
      <c r="B19" s="17" t="s">
        <v>36</v>
      </c>
      <c r="C19" s="17" t="s">
        <v>24</v>
      </c>
      <c r="D19" s="17" t="s">
        <v>34</v>
      </c>
      <c r="E19" s="17" t="s">
        <v>32</v>
      </c>
      <c r="F19" s="17" t="s">
        <v>18</v>
      </c>
      <c r="G19" s="17" t="s">
        <v>37</v>
      </c>
      <c r="H19" s="17" t="s">
        <v>33</v>
      </c>
    </row>
    <row r="20" spans="1:8" x14ac:dyDescent="0.25">
      <c r="A20" s="17" t="s">
        <v>191</v>
      </c>
      <c r="B20" s="17" t="s">
        <v>38</v>
      </c>
      <c r="C20" s="17" t="s">
        <v>24</v>
      </c>
      <c r="D20" s="17" t="s">
        <v>34</v>
      </c>
      <c r="E20" s="17" t="s">
        <v>32</v>
      </c>
      <c r="F20" s="17" t="s">
        <v>18</v>
      </c>
      <c r="G20" s="17" t="s">
        <v>39</v>
      </c>
      <c r="H20" s="17" t="s">
        <v>33</v>
      </c>
    </row>
    <row r="21" spans="1:8" x14ac:dyDescent="0.25">
      <c r="A21" s="29" t="s">
        <v>192</v>
      </c>
      <c r="B21" s="29" t="s">
        <v>43</v>
      </c>
      <c r="C21" s="29" t="s">
        <v>24</v>
      </c>
      <c r="D21" s="29" t="s">
        <v>25</v>
      </c>
      <c r="E21" s="29" t="s">
        <v>19</v>
      </c>
      <c r="F21" s="29" t="s">
        <v>20</v>
      </c>
      <c r="G21" s="29" t="s">
        <v>44</v>
      </c>
      <c r="H21" s="29" t="s">
        <v>22</v>
      </c>
    </row>
    <row r="22" spans="1:8" x14ac:dyDescent="0.25">
      <c r="A22" s="29" t="s">
        <v>192</v>
      </c>
      <c r="B22" s="29" t="s">
        <v>45</v>
      </c>
      <c r="C22" s="29" t="s">
        <v>24</v>
      </c>
      <c r="D22" s="29" t="s">
        <v>25</v>
      </c>
      <c r="E22" s="29" t="s">
        <v>19</v>
      </c>
      <c r="F22" s="29" t="s">
        <v>29</v>
      </c>
      <c r="G22" s="29" t="s">
        <v>46</v>
      </c>
      <c r="H22" s="29" t="s">
        <v>30</v>
      </c>
    </row>
    <row r="23" spans="1:8" x14ac:dyDescent="0.25">
      <c r="A23" s="29" t="s">
        <v>192</v>
      </c>
      <c r="B23" s="29" t="s">
        <v>47</v>
      </c>
      <c r="C23" s="29" t="s">
        <v>24</v>
      </c>
      <c r="D23" s="29" t="s">
        <v>18</v>
      </c>
      <c r="E23" s="29" t="s">
        <v>19</v>
      </c>
      <c r="F23" s="29" t="s">
        <v>29</v>
      </c>
      <c r="G23" s="29" t="s">
        <v>48</v>
      </c>
      <c r="H23" s="29" t="s">
        <v>30</v>
      </c>
    </row>
    <row r="24" spans="1:8" x14ac:dyDescent="0.25">
      <c r="A24" s="17" t="s">
        <v>192</v>
      </c>
      <c r="B24" s="17" t="s">
        <v>186</v>
      </c>
      <c r="C24" s="17" t="s">
        <v>24</v>
      </c>
      <c r="D24" s="17" t="s">
        <v>27</v>
      </c>
      <c r="E24" s="17" t="s">
        <v>32</v>
      </c>
      <c r="F24" s="17" t="s">
        <v>18</v>
      </c>
      <c r="G24" s="17" t="s">
        <v>187</v>
      </c>
      <c r="H24" s="17" t="s">
        <v>30</v>
      </c>
    </row>
    <row r="25" spans="1:8" x14ac:dyDescent="0.25">
      <c r="A25" s="17" t="s">
        <v>192</v>
      </c>
      <c r="B25" s="17" t="s">
        <v>49</v>
      </c>
      <c r="C25" s="17" t="s">
        <v>24</v>
      </c>
      <c r="D25" s="17" t="s">
        <v>25</v>
      </c>
      <c r="E25" s="17" t="s">
        <v>32</v>
      </c>
      <c r="F25" s="17" t="s">
        <v>18</v>
      </c>
      <c r="G25" s="17" t="s">
        <v>50</v>
      </c>
      <c r="H25" s="17" t="s">
        <v>33</v>
      </c>
    </row>
    <row r="26" spans="1:8" x14ac:dyDescent="0.25">
      <c r="A26" s="45" t="s">
        <v>18</v>
      </c>
      <c r="B26" s="15" t="s">
        <v>51</v>
      </c>
      <c r="C26" s="15" t="s">
        <v>52</v>
      </c>
      <c r="D26" s="15" t="s">
        <v>18</v>
      </c>
      <c r="E26" s="15" t="s">
        <v>53</v>
      </c>
      <c r="F26" s="15" t="s">
        <v>18</v>
      </c>
      <c r="G26" s="15" t="s">
        <v>54</v>
      </c>
      <c r="H26" s="15" t="s">
        <v>55</v>
      </c>
    </row>
    <row r="27" spans="1:8" x14ac:dyDescent="0.25">
      <c r="A27" s="45" t="s">
        <v>18</v>
      </c>
      <c r="B27" s="15" t="s">
        <v>56</v>
      </c>
      <c r="C27" s="15" t="s">
        <v>17</v>
      </c>
      <c r="D27" s="15" t="s">
        <v>18</v>
      </c>
      <c r="E27" s="15" t="s">
        <v>53</v>
      </c>
      <c r="F27" s="15" t="s">
        <v>18</v>
      </c>
      <c r="G27" s="15" t="s">
        <v>57</v>
      </c>
      <c r="H27" s="15" t="s">
        <v>55</v>
      </c>
    </row>
    <row r="28" spans="1:8" x14ac:dyDescent="0.25">
      <c r="A28" s="45" t="s">
        <v>18</v>
      </c>
      <c r="B28" s="15" t="s">
        <v>58</v>
      </c>
      <c r="C28" s="15" t="s">
        <v>17</v>
      </c>
      <c r="D28" s="15" t="s">
        <v>18</v>
      </c>
      <c r="E28" s="15" t="s">
        <v>53</v>
      </c>
      <c r="F28" s="15" t="s">
        <v>18</v>
      </c>
      <c r="G28" s="15" t="s">
        <v>59</v>
      </c>
      <c r="H28" s="15" t="s">
        <v>55</v>
      </c>
    </row>
    <row r="29" spans="1:8" x14ac:dyDescent="0.25">
      <c r="A29" s="45" t="s">
        <v>18</v>
      </c>
      <c r="B29" s="15" t="s">
        <v>60</v>
      </c>
      <c r="C29" s="15" t="s">
        <v>24</v>
      </c>
      <c r="D29" s="15" t="s">
        <v>34</v>
      </c>
      <c r="E29" s="15" t="s">
        <v>61</v>
      </c>
      <c r="F29" s="15" t="s">
        <v>18</v>
      </c>
      <c r="G29" s="15" t="s">
        <v>62</v>
      </c>
      <c r="H29" s="15" t="s">
        <v>63</v>
      </c>
    </row>
    <row r="30" spans="1:8" x14ac:dyDescent="0.25">
      <c r="A30" s="45" t="s">
        <v>18</v>
      </c>
      <c r="B30" s="15" t="s">
        <v>64</v>
      </c>
      <c r="C30" s="15" t="s">
        <v>52</v>
      </c>
      <c r="D30" s="15" t="s">
        <v>18</v>
      </c>
      <c r="E30" s="15" t="s">
        <v>61</v>
      </c>
      <c r="F30" s="15" t="s">
        <v>18</v>
      </c>
      <c r="G30" s="15" t="s">
        <v>65</v>
      </c>
      <c r="H30" s="15" t="s">
        <v>63</v>
      </c>
    </row>
  </sheetData>
  <phoneticPr fontId="11" type="noConversion"/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5"/>
  <sheetViews>
    <sheetView topLeftCell="A34" zoomScaleNormal="100" workbookViewId="0">
      <selection activeCell="D21" sqref="D21"/>
    </sheetView>
  </sheetViews>
  <sheetFormatPr baseColWidth="10" defaultColWidth="8.6640625" defaultRowHeight="13.8" x14ac:dyDescent="0.25"/>
  <cols>
    <col min="1" max="1" width="35" style="4" customWidth="1"/>
    <col min="2" max="2" width="22.33203125" style="4" bestFit="1" customWidth="1"/>
    <col min="3" max="3" width="24.5546875" style="4" bestFit="1" customWidth="1"/>
    <col min="4" max="4" width="15" style="4" customWidth="1"/>
    <col min="5" max="5" width="26.5546875" style="4" customWidth="1"/>
    <col min="6" max="16384" width="8.6640625" style="4"/>
  </cols>
  <sheetData>
    <row r="1" spans="1:5" ht="16.8" x14ac:dyDescent="0.3">
      <c r="A1" s="46" t="s">
        <v>182</v>
      </c>
      <c r="B1" s="46"/>
      <c r="C1" s="46"/>
      <c r="D1" s="46"/>
      <c r="E1" s="46"/>
    </row>
    <row r="3" spans="1:5" ht="16.8" x14ac:dyDescent="0.3">
      <c r="A3" s="48" t="s">
        <v>183</v>
      </c>
      <c r="B3" s="48"/>
      <c r="C3" s="48"/>
      <c r="D3" s="48"/>
      <c r="E3" s="48"/>
    </row>
    <row r="5" spans="1:5" ht="15" x14ac:dyDescent="0.25">
      <c r="A5" s="47" t="s">
        <v>168</v>
      </c>
      <c r="B5" s="47"/>
      <c r="C5" s="47"/>
      <c r="D5" s="47"/>
      <c r="E5" s="47"/>
    </row>
    <row r="6" spans="1:5" x14ac:dyDescent="0.25">
      <c r="A6" s="21" t="s">
        <v>16</v>
      </c>
      <c r="B6" s="9" t="s">
        <v>66</v>
      </c>
      <c r="C6" s="9" t="s">
        <v>67</v>
      </c>
      <c r="D6" s="10" t="s">
        <v>68</v>
      </c>
      <c r="E6" s="10" t="s">
        <v>157</v>
      </c>
    </row>
    <row r="7" spans="1:5" x14ac:dyDescent="0.25">
      <c r="A7" s="11" t="s">
        <v>69</v>
      </c>
      <c r="B7" s="22">
        <v>118.357531951281</v>
      </c>
      <c r="C7" s="22">
        <v>73548.633245614692</v>
      </c>
      <c r="D7" s="23">
        <f>C7/(8760*B7)</f>
        <v>7.0937291111537182E-2</v>
      </c>
      <c r="E7" s="14">
        <f>C7/$C$16</f>
        <v>1.4160168359924829E-3</v>
      </c>
    </row>
    <row r="8" spans="1:5" x14ac:dyDescent="0.25">
      <c r="A8" s="11" t="s">
        <v>70</v>
      </c>
      <c r="B8" s="22">
        <v>25.448707099512102</v>
      </c>
      <c r="C8" s="22">
        <v>9786.187956475389</v>
      </c>
      <c r="D8" s="23">
        <f t="shared" ref="D8:D15" si="0">C8/(8760*B8)</f>
        <v>4.3897897819386758E-2</v>
      </c>
      <c r="E8" s="14">
        <f t="shared" ref="E8:E15" si="1">C8/$C$16</f>
        <v>1.8841148088067652E-4</v>
      </c>
    </row>
    <row r="9" spans="1:5" x14ac:dyDescent="0.25">
      <c r="A9" s="11" t="s">
        <v>71</v>
      </c>
      <c r="B9" s="22">
        <v>636.93873969403307</v>
      </c>
      <c r="C9" s="22">
        <v>27068.813965100999</v>
      </c>
      <c r="D9" s="23">
        <f t="shared" si="0"/>
        <v>4.8514041676510954E-3</v>
      </c>
      <c r="E9" s="14">
        <f t="shared" si="1"/>
        <v>5.2115035471739181E-4</v>
      </c>
    </row>
    <row r="10" spans="1:5" x14ac:dyDescent="0.25">
      <c r="A10" s="11" t="s">
        <v>72</v>
      </c>
      <c r="B10" s="22">
        <v>743.70557057034898</v>
      </c>
      <c r="C10" s="22">
        <v>1581393.2386771548</v>
      </c>
      <c r="D10" s="23">
        <f t="shared" si="0"/>
        <v>0.24273630514330999</v>
      </c>
      <c r="E10" s="14">
        <f t="shared" si="1"/>
        <v>3.0446241506806599E-2</v>
      </c>
    </row>
    <row r="11" spans="1:5" x14ac:dyDescent="0.25">
      <c r="A11" s="11" t="s">
        <v>73</v>
      </c>
      <c r="B11" s="22">
        <v>934.99998835075701</v>
      </c>
      <c r="C11" s="22">
        <v>7884702.2972734403</v>
      </c>
      <c r="D11" s="23">
        <f t="shared" si="0"/>
        <v>0.96265260121475904</v>
      </c>
      <c r="E11" s="14">
        <f t="shared" si="1"/>
        <v>0.15180256528279537</v>
      </c>
    </row>
    <row r="12" spans="1:5" x14ac:dyDescent="0.25">
      <c r="A12" s="11" t="s">
        <v>74</v>
      </c>
      <c r="B12" s="22">
        <v>6107.8048396253598</v>
      </c>
      <c r="C12" s="22">
        <v>15973939.116945399</v>
      </c>
      <c r="D12" s="23">
        <f t="shared" si="0"/>
        <v>0.29855391249315388</v>
      </c>
      <c r="E12" s="14">
        <f t="shared" si="1"/>
        <v>0.30754299201151025</v>
      </c>
    </row>
    <row r="13" spans="1:5" x14ac:dyDescent="0.25">
      <c r="A13" s="11" t="s">
        <v>75</v>
      </c>
      <c r="B13" s="22">
        <v>8665.5034929333997</v>
      </c>
      <c r="C13" s="22">
        <v>17762468.058835797</v>
      </c>
      <c r="D13" s="23">
        <f t="shared" si="0"/>
        <v>0.23399436672130475</v>
      </c>
      <c r="E13" s="14">
        <f t="shared" si="1"/>
        <v>0.3419771749679642</v>
      </c>
    </row>
    <row r="14" spans="1:5" x14ac:dyDescent="0.25">
      <c r="A14" s="11" t="s">
        <v>165</v>
      </c>
      <c r="B14" s="22">
        <v>1295.09943997698</v>
      </c>
      <c r="C14" s="22">
        <v>4149897.8556715799</v>
      </c>
      <c r="D14" s="23">
        <f t="shared" si="0"/>
        <v>0.36578861615012354</v>
      </c>
      <c r="E14" s="14">
        <f t="shared" si="1"/>
        <v>7.9897137063800347E-2</v>
      </c>
    </row>
    <row r="15" spans="1:5" x14ac:dyDescent="0.25">
      <c r="A15" s="11" t="s">
        <v>166</v>
      </c>
      <c r="B15" s="22">
        <v>864</v>
      </c>
      <c r="C15" s="22">
        <v>4477703.4073298797</v>
      </c>
      <c r="D15" s="23">
        <f t="shared" si="0"/>
        <v>0.59161268171426828</v>
      </c>
      <c r="E15" s="14">
        <f t="shared" si="1"/>
        <v>8.6208310495532778E-2</v>
      </c>
    </row>
    <row r="16" spans="1:5" x14ac:dyDescent="0.25">
      <c r="A16" s="15" t="s">
        <v>161</v>
      </c>
      <c r="B16" s="16">
        <f>SUM(B7:B15)</f>
        <v>19391.858310201675</v>
      </c>
      <c r="C16" s="16">
        <f>SUM(C7:C15)</f>
        <v>51940507.609900437</v>
      </c>
      <c r="D16" s="24"/>
      <c r="E16" s="24"/>
    </row>
    <row r="18" spans="1:2" ht="15" x14ac:dyDescent="0.25">
      <c r="A18" s="47" t="s">
        <v>78</v>
      </c>
      <c r="B18" s="47"/>
    </row>
    <row r="19" spans="1:2" x14ac:dyDescent="0.25">
      <c r="A19" s="25" t="s">
        <v>16</v>
      </c>
      <c r="B19" s="26" t="s">
        <v>170</v>
      </c>
    </row>
    <row r="20" spans="1:2" x14ac:dyDescent="0.25">
      <c r="A20" s="15" t="s">
        <v>79</v>
      </c>
      <c r="B20" s="16">
        <v>3887.83</v>
      </c>
    </row>
    <row r="21" spans="1:2" x14ac:dyDescent="0.25">
      <c r="A21" s="15" t="s">
        <v>80</v>
      </c>
      <c r="B21" s="16">
        <v>4.9100000000000001E-4</v>
      </c>
    </row>
    <row r="22" spans="1:2" x14ac:dyDescent="0.25">
      <c r="A22" s="15" t="s">
        <v>81</v>
      </c>
      <c r="B22" s="16">
        <v>9.2429999999999995E-3</v>
      </c>
    </row>
    <row r="23" spans="1:2" x14ac:dyDescent="0.25">
      <c r="A23" s="15" t="s">
        <v>82</v>
      </c>
      <c r="B23" s="16">
        <v>3351.16</v>
      </c>
    </row>
    <row r="24" spans="1:2" x14ac:dyDescent="0.25">
      <c r="A24" s="27" t="s">
        <v>151</v>
      </c>
      <c r="B24" s="28">
        <f>SUM(B20:B23)</f>
        <v>7238.9997339999991</v>
      </c>
    </row>
    <row r="27" spans="1:2" ht="15" x14ac:dyDescent="0.25">
      <c r="A27" s="47" t="s">
        <v>169</v>
      </c>
      <c r="B27" s="47"/>
    </row>
    <row r="28" spans="1:2" ht="16.2" x14ac:dyDescent="0.35">
      <c r="A28" s="29" t="s">
        <v>179</v>
      </c>
      <c r="B28" s="30">
        <f>(C7*2.130119023*0.202+C8*3.083775054*0.202+C9*2.709615897*0.267+C11*4.17*0.03)/1000</f>
        <v>1043.7025035612435</v>
      </c>
    </row>
    <row r="29" spans="1:2" x14ac:dyDescent="0.25">
      <c r="A29" s="29" t="s">
        <v>162</v>
      </c>
      <c r="B29" s="30">
        <v>83335</v>
      </c>
    </row>
    <row r="30" spans="1:2" x14ac:dyDescent="0.25">
      <c r="A30" s="29" t="s">
        <v>163</v>
      </c>
      <c r="B30" s="30">
        <v>27068.813965100999</v>
      </c>
    </row>
    <row r="31" spans="1:2" x14ac:dyDescent="0.25">
      <c r="A31" s="29" t="s">
        <v>164</v>
      </c>
      <c r="B31" s="30">
        <v>1581393.2386771548</v>
      </c>
    </row>
    <row r="33" spans="1:5" ht="16.8" x14ac:dyDescent="0.3">
      <c r="A33" s="46" t="s">
        <v>184</v>
      </c>
      <c r="B33" s="46"/>
      <c r="C33" s="46"/>
      <c r="D33" s="46"/>
      <c r="E33" s="46"/>
    </row>
    <row r="35" spans="1:5" ht="15" x14ac:dyDescent="0.25">
      <c r="A35" s="47" t="s">
        <v>171</v>
      </c>
      <c r="B35" s="47"/>
      <c r="C35" s="47"/>
      <c r="D35" s="47"/>
      <c r="E35" s="47"/>
    </row>
    <row r="36" spans="1:5" x14ac:dyDescent="0.25">
      <c r="A36" s="9" t="s">
        <v>16</v>
      </c>
      <c r="B36" s="10" t="s">
        <v>152</v>
      </c>
      <c r="C36" s="10" t="s">
        <v>153</v>
      </c>
      <c r="D36" s="9" t="s">
        <v>154</v>
      </c>
      <c r="E36" s="10" t="s">
        <v>83</v>
      </c>
    </row>
    <row r="37" spans="1:5" x14ac:dyDescent="0.25">
      <c r="A37" s="11" t="s">
        <v>69</v>
      </c>
      <c r="B37" s="12">
        <v>118</v>
      </c>
      <c r="C37" s="12">
        <v>73549</v>
      </c>
      <c r="D37" s="13">
        <f>C37/(8760*B37)</f>
        <v>7.1152581069576656E-2</v>
      </c>
      <c r="E37" s="14">
        <f>(C7-C37)/C7</f>
        <v>-4.986556093887453E-6</v>
      </c>
    </row>
    <row r="38" spans="1:5" x14ac:dyDescent="0.25">
      <c r="A38" s="11" t="s">
        <v>70</v>
      </c>
      <c r="B38" s="12">
        <v>25</v>
      </c>
      <c r="C38" s="12">
        <v>9786</v>
      </c>
      <c r="D38" s="13">
        <f t="shared" ref="D38:D45" si="2">C38/(8760*B38)</f>
        <v>4.4684931506849317E-2</v>
      </c>
      <c r="E38" s="14">
        <f t="shared" ref="E38:E45" si="3">(C8-C38)/C8</f>
        <v>1.9206301393857102E-5</v>
      </c>
    </row>
    <row r="39" spans="1:5" x14ac:dyDescent="0.25">
      <c r="A39" s="11" t="s">
        <v>71</v>
      </c>
      <c r="B39" s="12">
        <v>637</v>
      </c>
      <c r="C39" s="12">
        <v>27069</v>
      </c>
      <c r="D39" s="13">
        <f t="shared" si="2"/>
        <v>4.850970946861358E-3</v>
      </c>
      <c r="E39" s="14">
        <f t="shared" si="3"/>
        <v>-6.8726653203606097E-6</v>
      </c>
    </row>
    <row r="40" spans="1:5" x14ac:dyDescent="0.25">
      <c r="A40" s="11" t="s">
        <v>72</v>
      </c>
      <c r="B40" s="12">
        <v>744</v>
      </c>
      <c r="C40" s="12">
        <v>1581393</v>
      </c>
      <c r="D40" s="13">
        <f t="shared" si="2"/>
        <v>0.24264020842539402</v>
      </c>
      <c r="E40" s="14">
        <f t="shared" si="3"/>
        <v>1.5092840219834422E-7</v>
      </c>
    </row>
    <row r="41" spans="1:5" x14ac:dyDescent="0.25">
      <c r="A41" s="11" t="s">
        <v>73</v>
      </c>
      <c r="B41" s="12">
        <v>935</v>
      </c>
      <c r="C41" s="12">
        <v>8050470</v>
      </c>
      <c r="D41" s="13">
        <f t="shared" si="2"/>
        <v>0.98289136327009008</v>
      </c>
      <c r="E41" s="14">
        <f t="shared" si="3"/>
        <v>-2.1023964694758712E-2</v>
      </c>
    </row>
    <row r="42" spans="1:5" x14ac:dyDescent="0.25">
      <c r="A42" s="11" t="s">
        <v>74</v>
      </c>
      <c r="B42" s="12">
        <v>6108</v>
      </c>
      <c r="C42" s="12">
        <v>13315536</v>
      </c>
      <c r="D42" s="13">
        <f t="shared" si="2"/>
        <v>0.24886024167720752</v>
      </c>
      <c r="E42" s="14">
        <f t="shared" si="3"/>
        <v>0.16642126262553011</v>
      </c>
    </row>
    <row r="43" spans="1:5" x14ac:dyDescent="0.25">
      <c r="A43" s="11" t="s">
        <v>75</v>
      </c>
      <c r="B43" s="12">
        <v>8666</v>
      </c>
      <c r="C43" s="12">
        <v>17474217</v>
      </c>
      <c r="D43" s="13">
        <f t="shared" si="2"/>
        <v>0.23018389454615582</v>
      </c>
      <c r="E43" s="14">
        <f t="shared" si="3"/>
        <v>1.6228097237444929E-2</v>
      </c>
    </row>
    <row r="44" spans="1:5" x14ac:dyDescent="0.25">
      <c r="A44" s="11" t="s">
        <v>165</v>
      </c>
      <c r="B44" s="12">
        <v>1295</v>
      </c>
      <c r="C44" s="12">
        <v>4500341</v>
      </c>
      <c r="D44" s="13">
        <f t="shared" si="2"/>
        <v>0.39670853828388075</v>
      </c>
      <c r="E44" s="14">
        <f t="shared" si="3"/>
        <v>-8.4446209645732989E-2</v>
      </c>
    </row>
    <row r="45" spans="1:5" x14ac:dyDescent="0.25">
      <c r="A45" s="11" t="s">
        <v>166</v>
      </c>
      <c r="B45" s="12">
        <v>864</v>
      </c>
      <c r="C45" s="12">
        <v>4578323</v>
      </c>
      <c r="D45" s="13">
        <f t="shared" si="2"/>
        <v>0.60490695818535434</v>
      </c>
      <c r="E45" s="14">
        <f t="shared" si="3"/>
        <v>-2.2471249995122219E-2</v>
      </c>
    </row>
    <row r="46" spans="1:5" x14ac:dyDescent="0.25">
      <c r="A46" s="15" t="s">
        <v>161</v>
      </c>
      <c r="B46" s="16">
        <f>SUM(B37:B45)</f>
        <v>19392</v>
      </c>
      <c r="C46" s="16">
        <f>SUM(C37:C45)</f>
        <v>49610684</v>
      </c>
      <c r="D46" s="7"/>
      <c r="E46" s="8"/>
    </row>
    <row r="48" spans="1:5" ht="15" x14ac:dyDescent="0.25">
      <c r="A48" s="47" t="s">
        <v>84</v>
      </c>
      <c r="B48" s="47"/>
    </row>
    <row r="49" spans="1:2" x14ac:dyDescent="0.25">
      <c r="A49" s="17" t="s">
        <v>177</v>
      </c>
      <c r="B49" s="18">
        <v>4869078.2083780002</v>
      </c>
    </row>
    <row r="50" spans="1:2" x14ac:dyDescent="0.25">
      <c r="A50" s="17" t="s">
        <v>85</v>
      </c>
      <c r="B50" s="19">
        <f>B49/C46</f>
        <v>9.8145758449490444E-2</v>
      </c>
    </row>
    <row r="51" spans="1:2" x14ac:dyDescent="0.25">
      <c r="A51" s="17" t="s">
        <v>86</v>
      </c>
      <c r="B51" s="19" cm="1">
        <f t="array" ref="B51">MAX(ABS(E37:E45))</f>
        <v>0.16642126262553011</v>
      </c>
    </row>
    <row r="53" spans="1:2" ht="15" x14ac:dyDescent="0.25">
      <c r="A53" s="47" t="s">
        <v>87</v>
      </c>
      <c r="B53" s="47"/>
    </row>
    <row r="54" spans="1:2" x14ac:dyDescent="0.25">
      <c r="A54" s="15" t="s">
        <v>88</v>
      </c>
      <c r="B54" s="20" t="str">
        <f>IF(B51&lt;0.1,"YES","NO")</f>
        <v>NO</v>
      </c>
    </row>
    <row r="55" spans="1:2" x14ac:dyDescent="0.25">
      <c r="A55" s="15" t="s">
        <v>185</v>
      </c>
      <c r="B55" s="20" t="str">
        <f>IF(AND(B49&gt;0,B54="YES"),"YES - Proceed to Phase 2","NO")</f>
        <v>NO</v>
      </c>
    </row>
  </sheetData>
  <mergeCells count="9">
    <mergeCell ref="A1:E1"/>
    <mergeCell ref="A35:E35"/>
    <mergeCell ref="A48:B48"/>
    <mergeCell ref="A53:B53"/>
    <mergeCell ref="A3:E3"/>
    <mergeCell ref="A33:E33"/>
    <mergeCell ref="A5:E5"/>
    <mergeCell ref="A18:B18"/>
    <mergeCell ref="A27:B27"/>
  </mergeCells>
  <pageMargins left="0.75" right="0.75" top="1" bottom="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30867-9BA8-4B4F-AB7D-9B0392B193D6}">
  <dimension ref="A1:E55"/>
  <sheetViews>
    <sheetView zoomScaleNormal="100" workbookViewId="0">
      <selection activeCell="C16" sqref="C16"/>
    </sheetView>
  </sheetViews>
  <sheetFormatPr baseColWidth="10" defaultColWidth="8.6640625" defaultRowHeight="13.8" x14ac:dyDescent="0.25"/>
  <cols>
    <col min="1" max="1" width="35" style="4" customWidth="1"/>
    <col min="2" max="2" width="22.33203125" style="4" bestFit="1" customWidth="1"/>
    <col min="3" max="3" width="24.5546875" style="4" bestFit="1" customWidth="1"/>
    <col min="4" max="4" width="15" style="4" customWidth="1"/>
    <col min="5" max="5" width="26.5546875" style="4" customWidth="1"/>
    <col min="6" max="16384" width="8.6640625" style="4"/>
  </cols>
  <sheetData>
    <row r="1" spans="1:5" ht="16.8" x14ac:dyDescent="0.3">
      <c r="A1" s="46" t="s">
        <v>182</v>
      </c>
      <c r="B1" s="46"/>
      <c r="C1" s="46"/>
      <c r="D1" s="46"/>
      <c r="E1" s="46"/>
    </row>
    <row r="3" spans="1:5" ht="16.8" x14ac:dyDescent="0.3">
      <c r="A3" s="48" t="s">
        <v>183</v>
      </c>
      <c r="B3" s="48"/>
      <c r="C3" s="48"/>
      <c r="D3" s="48"/>
      <c r="E3" s="48"/>
    </row>
    <row r="5" spans="1:5" ht="15" x14ac:dyDescent="0.25">
      <c r="A5" s="47" t="s">
        <v>168</v>
      </c>
      <c r="B5" s="47"/>
      <c r="C5" s="47"/>
      <c r="D5" s="47"/>
      <c r="E5" s="47"/>
    </row>
    <row r="6" spans="1:5" x14ac:dyDescent="0.25">
      <c r="A6" s="21" t="s">
        <v>16</v>
      </c>
      <c r="B6" s="9" t="s">
        <v>66</v>
      </c>
      <c r="C6" s="9" t="s">
        <v>67</v>
      </c>
      <c r="D6" s="10" t="s">
        <v>68</v>
      </c>
      <c r="E6" s="10" t="s">
        <v>157</v>
      </c>
    </row>
    <row r="7" spans="1:5" x14ac:dyDescent="0.25">
      <c r="A7" s="11" t="s">
        <v>69</v>
      </c>
      <c r="B7" s="22">
        <v>118.353385594933</v>
      </c>
      <c r="C7" s="22">
        <v>45190.418071140499</v>
      </c>
      <c r="D7" s="23">
        <f>C7/(8760*B7)</f>
        <v>4.3587460537534928E-2</v>
      </c>
      <c r="E7" s="14">
        <f>C7/$C$16</f>
        <v>9.0003899931130431E-4</v>
      </c>
    </row>
    <row r="8" spans="1:5" x14ac:dyDescent="0.25">
      <c r="A8" s="11" t="s">
        <v>70</v>
      </c>
      <c r="B8" s="22">
        <v>25.448548253496202</v>
      </c>
      <c r="C8" s="22">
        <v>7294.9317617454399</v>
      </c>
      <c r="D8" s="23">
        <f t="shared" ref="D8:D15" si="0">C8/(8760*B8)</f>
        <v>3.2723075557291655E-2</v>
      </c>
      <c r="E8" s="14">
        <f t="shared" ref="E8:E15" si="1">C8/$C$16</f>
        <v>1.4529016024037665E-4</v>
      </c>
    </row>
    <row r="9" spans="1:5" x14ac:dyDescent="0.25">
      <c r="A9" s="11" t="s">
        <v>71</v>
      </c>
      <c r="B9" s="22">
        <v>520.54811990577798</v>
      </c>
      <c r="C9" s="22">
        <v>19503.018941639599</v>
      </c>
      <c r="D9" s="23">
        <f t="shared" si="0"/>
        <v>4.2769764026893602E-3</v>
      </c>
      <c r="E9" s="14">
        <f t="shared" si="1"/>
        <v>3.884336193603997E-4</v>
      </c>
    </row>
    <row r="10" spans="1:5" x14ac:dyDescent="0.25">
      <c r="A10" s="11" t="s">
        <v>72</v>
      </c>
      <c r="B10" s="22">
        <v>944.05789089273401</v>
      </c>
      <c r="C10" s="22">
        <v>2058329.685784369</v>
      </c>
      <c r="D10" s="23">
        <f t="shared" si="0"/>
        <v>0.24889272626134454</v>
      </c>
      <c r="E10" s="14">
        <f t="shared" si="1"/>
        <v>4.0994907100211302E-2</v>
      </c>
    </row>
    <row r="11" spans="1:5" x14ac:dyDescent="0.25">
      <c r="A11" s="11" t="s">
        <v>73</v>
      </c>
      <c r="B11" s="22">
        <v>934.99998617408698</v>
      </c>
      <c r="C11" s="22">
        <v>7917533.4091976201</v>
      </c>
      <c r="D11" s="23">
        <f t="shared" si="0"/>
        <v>0.96666099263482097</v>
      </c>
      <c r="E11" s="14">
        <f t="shared" si="1"/>
        <v>0.15769026158177782</v>
      </c>
    </row>
    <row r="12" spans="1:5" x14ac:dyDescent="0.25">
      <c r="A12" s="11" t="s">
        <v>74</v>
      </c>
      <c r="B12" s="22">
        <v>5091.3397087416997</v>
      </c>
      <c r="C12" s="22">
        <v>13382074.366082799</v>
      </c>
      <c r="D12" s="23">
        <f t="shared" si="0"/>
        <v>0.30004559653173513</v>
      </c>
      <c r="E12" s="14">
        <f t="shared" si="1"/>
        <v>0.26652527981037655</v>
      </c>
    </row>
    <row r="13" spans="1:5" x14ac:dyDescent="0.25">
      <c r="A13" s="11" t="s">
        <v>75</v>
      </c>
      <c r="B13" s="22">
        <v>8819.7822405564912</v>
      </c>
      <c r="C13" s="22">
        <v>18132133.593626201</v>
      </c>
      <c r="D13" s="23">
        <f t="shared" si="0"/>
        <v>0.23468586952119344</v>
      </c>
      <c r="E13" s="14">
        <f t="shared" si="1"/>
        <v>0.36113025883706634</v>
      </c>
    </row>
    <row r="14" spans="1:5" x14ac:dyDescent="0.25">
      <c r="A14" s="11" t="s">
        <v>165</v>
      </c>
      <c r="B14" s="22">
        <v>1295.09908727315</v>
      </c>
      <c r="C14" s="22">
        <v>4169637.10156254</v>
      </c>
      <c r="D14" s="23">
        <f t="shared" si="0"/>
        <v>0.36752861242470819</v>
      </c>
      <c r="E14" s="14">
        <f t="shared" si="1"/>
        <v>8.3044949893443701E-2</v>
      </c>
    </row>
    <row r="15" spans="1:5" x14ac:dyDescent="0.25">
      <c r="A15" s="11" t="s">
        <v>166</v>
      </c>
      <c r="B15" s="22">
        <v>864</v>
      </c>
      <c r="C15" s="22">
        <v>4477703.4073298797</v>
      </c>
      <c r="D15" s="23">
        <f t="shared" si="0"/>
        <v>0.59161268171426828</v>
      </c>
      <c r="E15" s="14">
        <f t="shared" si="1"/>
        <v>8.9180579998212259E-2</v>
      </c>
    </row>
    <row r="16" spans="1:5" x14ac:dyDescent="0.25">
      <c r="A16" s="15" t="s">
        <v>161</v>
      </c>
      <c r="B16" s="16">
        <f>SUM(B7:B15)</f>
        <v>18613.628967392367</v>
      </c>
      <c r="C16" s="16">
        <f>SUM(C7:C15)</f>
        <v>50209399.93235793</v>
      </c>
      <c r="D16" s="24"/>
      <c r="E16" s="24"/>
    </row>
    <row r="18" spans="1:2" ht="15" x14ac:dyDescent="0.25">
      <c r="A18" s="47" t="s">
        <v>78</v>
      </c>
      <c r="B18" s="47"/>
    </row>
    <row r="19" spans="1:2" x14ac:dyDescent="0.25">
      <c r="A19" s="25" t="s">
        <v>16</v>
      </c>
      <c r="B19" s="26" t="s">
        <v>170</v>
      </c>
    </row>
    <row r="20" spans="1:2" x14ac:dyDescent="0.25">
      <c r="A20" s="15" t="s">
        <v>79</v>
      </c>
      <c r="B20" s="16">
        <v>3887.83</v>
      </c>
    </row>
    <row r="21" spans="1:2" x14ac:dyDescent="0.25">
      <c r="A21" s="15" t="s">
        <v>80</v>
      </c>
      <c r="B21" s="16">
        <v>4.9100000000000001E-4</v>
      </c>
    </row>
    <row r="22" spans="1:2" x14ac:dyDescent="0.25">
      <c r="A22" s="15" t="s">
        <v>81</v>
      </c>
      <c r="B22" s="16">
        <v>9.2429999999999995E-3</v>
      </c>
    </row>
    <row r="23" spans="1:2" x14ac:dyDescent="0.25">
      <c r="A23" s="15" t="s">
        <v>82</v>
      </c>
      <c r="B23" s="16">
        <v>3351.16</v>
      </c>
    </row>
    <row r="24" spans="1:2" x14ac:dyDescent="0.25">
      <c r="A24" s="27" t="s">
        <v>151</v>
      </c>
      <c r="B24" s="28">
        <f>SUM(B20:B23)</f>
        <v>7238.9997339999991</v>
      </c>
    </row>
    <row r="27" spans="1:2" ht="15" x14ac:dyDescent="0.25">
      <c r="A27" s="47" t="s">
        <v>169</v>
      </c>
      <c r="B27" s="47"/>
    </row>
    <row r="28" spans="1:2" ht="16.2" x14ac:dyDescent="0.35">
      <c r="A28" s="29" t="s">
        <v>179</v>
      </c>
      <c r="B28" s="30">
        <f>(C7*2.130119023*0.202+C8*3.083775054*0.202+C9*2.709615897*0.267+C11*4.17*0.03)/1000</f>
        <v>1028.5821221155345</v>
      </c>
    </row>
    <row r="29" spans="1:2" x14ac:dyDescent="0.25">
      <c r="A29" s="29" t="s">
        <v>162</v>
      </c>
      <c r="B29" s="30">
        <v>52485.349832885942</v>
      </c>
    </row>
    <row r="30" spans="1:2" x14ac:dyDescent="0.25">
      <c r="A30" s="29" t="s">
        <v>163</v>
      </c>
      <c r="B30" s="30">
        <v>19503.018941639599</v>
      </c>
    </row>
    <row r="31" spans="1:2" x14ac:dyDescent="0.25">
      <c r="A31" s="29" t="s">
        <v>164</v>
      </c>
      <c r="B31" s="30">
        <v>2058329.685784369</v>
      </c>
    </row>
    <row r="33" spans="1:5" ht="16.8" x14ac:dyDescent="0.3">
      <c r="A33" s="46" t="s">
        <v>184</v>
      </c>
      <c r="B33" s="46"/>
      <c r="C33" s="46"/>
      <c r="D33" s="46"/>
      <c r="E33" s="46"/>
    </row>
    <row r="35" spans="1:5" ht="15" x14ac:dyDescent="0.25">
      <c r="A35" s="47" t="s">
        <v>171</v>
      </c>
      <c r="B35" s="47"/>
      <c r="C35" s="47"/>
      <c r="D35" s="47"/>
      <c r="E35" s="47"/>
    </row>
    <row r="36" spans="1:5" x14ac:dyDescent="0.25">
      <c r="A36" s="9" t="s">
        <v>16</v>
      </c>
      <c r="B36" s="10" t="s">
        <v>152</v>
      </c>
      <c r="C36" s="10" t="s">
        <v>153</v>
      </c>
      <c r="D36" s="9" t="s">
        <v>154</v>
      </c>
      <c r="E36" s="10" t="s">
        <v>83</v>
      </c>
    </row>
    <row r="37" spans="1:5" x14ac:dyDescent="0.25">
      <c r="A37" s="11" t="s">
        <v>69</v>
      </c>
      <c r="B37" s="12">
        <v>118</v>
      </c>
      <c r="C37" s="12">
        <v>45190</v>
      </c>
      <c r="D37" s="13">
        <f>C37/(8760*B37)</f>
        <v>4.3717591517684389E-2</v>
      </c>
      <c r="E37" s="14">
        <f>(C7-C37)/C7</f>
        <v>9.2513226994415567E-6</v>
      </c>
    </row>
    <row r="38" spans="1:5" x14ac:dyDescent="0.25">
      <c r="A38" s="11" t="s">
        <v>70</v>
      </c>
      <c r="B38" s="12">
        <v>25</v>
      </c>
      <c r="C38" s="12">
        <v>7239</v>
      </c>
      <c r="D38" s="13">
        <f t="shared" ref="D38:D45" si="2">C38/(8760*B38)</f>
        <v>3.3054794520547943E-2</v>
      </c>
      <c r="E38" s="14">
        <f t="shared" ref="E38:E45" si="3">(C8-C38)/C8</f>
        <v>7.6672083539897594E-3</v>
      </c>
    </row>
    <row r="39" spans="1:5" x14ac:dyDescent="0.25">
      <c r="A39" s="11" t="s">
        <v>71</v>
      </c>
      <c r="B39" s="12">
        <v>521</v>
      </c>
      <c r="C39" s="12">
        <v>19503</v>
      </c>
      <c r="D39" s="13">
        <f t="shared" si="2"/>
        <v>4.2732626929245657E-3</v>
      </c>
      <c r="E39" s="14">
        <f t="shared" si="3"/>
        <v>9.7121577205353137E-7</v>
      </c>
    </row>
    <row r="40" spans="1:5" x14ac:dyDescent="0.25">
      <c r="A40" s="11" t="s">
        <v>72</v>
      </c>
      <c r="B40" s="12">
        <v>944</v>
      </c>
      <c r="C40" s="12">
        <v>2058330</v>
      </c>
      <c r="D40" s="13">
        <f t="shared" si="2"/>
        <v>0.24890802762944045</v>
      </c>
      <c r="E40" s="14">
        <f t="shared" si="3"/>
        <v>-1.526556378025739E-7</v>
      </c>
    </row>
    <row r="41" spans="1:5" x14ac:dyDescent="0.25">
      <c r="A41" s="11" t="s">
        <v>73</v>
      </c>
      <c r="B41" s="12">
        <v>935</v>
      </c>
      <c r="C41" s="12">
        <v>8160243</v>
      </c>
      <c r="D41" s="13">
        <f t="shared" si="2"/>
        <v>0.99629367811881908</v>
      </c>
      <c r="E41" s="14">
        <f t="shared" si="3"/>
        <v>-3.0654697398615285E-2</v>
      </c>
    </row>
    <row r="42" spans="1:5" x14ac:dyDescent="0.25">
      <c r="A42" s="11" t="s">
        <v>74</v>
      </c>
      <c r="B42" s="12">
        <v>5091</v>
      </c>
      <c r="C42" s="12">
        <v>11306327</v>
      </c>
      <c r="D42" s="13">
        <f t="shared" si="2"/>
        <v>0.25352123319063369</v>
      </c>
      <c r="E42" s="14">
        <f t="shared" si="3"/>
        <v>0.15511402113739797</v>
      </c>
    </row>
    <row r="43" spans="1:5" x14ac:dyDescent="0.25">
      <c r="A43" s="11" t="s">
        <v>75</v>
      </c>
      <c r="B43" s="12">
        <v>8820</v>
      </c>
      <c r="C43" s="12">
        <v>17731117</v>
      </c>
      <c r="D43" s="13">
        <f t="shared" si="2"/>
        <v>0.22948980886113959</v>
      </c>
      <c r="E43" s="14">
        <f t="shared" si="3"/>
        <v>2.2116348942364198E-2</v>
      </c>
    </row>
    <row r="44" spans="1:5" x14ac:dyDescent="0.25">
      <c r="A44" s="11" t="s">
        <v>165</v>
      </c>
      <c r="B44" s="12">
        <v>1295</v>
      </c>
      <c r="C44" s="12">
        <v>4500341</v>
      </c>
      <c r="D44" s="13">
        <f t="shared" si="2"/>
        <v>0.39670853828388075</v>
      </c>
      <c r="E44" s="14">
        <f t="shared" si="3"/>
        <v>-7.9312393472691228E-2</v>
      </c>
    </row>
    <row r="45" spans="1:5" x14ac:dyDescent="0.25">
      <c r="A45" s="11" t="s">
        <v>166</v>
      </c>
      <c r="B45" s="12">
        <v>864</v>
      </c>
      <c r="C45" s="12">
        <v>4797397</v>
      </c>
      <c r="D45" s="13">
        <f t="shared" si="2"/>
        <v>0.63385192055640116</v>
      </c>
      <c r="E45" s="14">
        <f t="shared" si="3"/>
        <v>-7.1396777228878203E-2</v>
      </c>
    </row>
    <row r="46" spans="1:5" x14ac:dyDescent="0.25">
      <c r="A46" s="15" t="s">
        <v>161</v>
      </c>
      <c r="B46" s="16">
        <f>SUM(B37:B45)</f>
        <v>18613</v>
      </c>
      <c r="C46" s="16">
        <f>SUM(C37:C45)</f>
        <v>48625687</v>
      </c>
      <c r="D46" s="7"/>
      <c r="E46" s="8"/>
    </row>
    <row r="48" spans="1:5" ht="15" x14ac:dyDescent="0.25">
      <c r="A48" s="47" t="s">
        <v>84</v>
      </c>
      <c r="B48" s="47"/>
    </row>
    <row r="49" spans="1:2" x14ac:dyDescent="0.25">
      <c r="A49" s="17" t="s">
        <v>177</v>
      </c>
      <c r="B49" s="18">
        <v>2869078.2083780002</v>
      </c>
    </row>
    <row r="50" spans="1:2" x14ac:dyDescent="0.25">
      <c r="A50" s="17" t="s">
        <v>85</v>
      </c>
      <c r="B50" s="19">
        <f>B49/C46</f>
        <v>5.9003345461792658E-2</v>
      </c>
    </row>
    <row r="51" spans="1:2" x14ac:dyDescent="0.25">
      <c r="A51" s="17" t="s">
        <v>86</v>
      </c>
      <c r="B51" s="19" cm="1">
        <f t="array" ref="B51">MAX(ABS(E37:E45))</f>
        <v>0.15511402113739797</v>
      </c>
    </row>
    <row r="53" spans="1:2" ht="15" x14ac:dyDescent="0.25">
      <c r="A53" s="47" t="s">
        <v>87</v>
      </c>
      <c r="B53" s="47"/>
    </row>
    <row r="54" spans="1:2" x14ac:dyDescent="0.25">
      <c r="A54" s="15" t="s">
        <v>88</v>
      </c>
      <c r="B54" s="20" t="str">
        <f>IF(B51&lt;0.1,"YES","NO")</f>
        <v>NO</v>
      </c>
    </row>
    <row r="55" spans="1:2" x14ac:dyDescent="0.25">
      <c r="A55" s="15" t="s">
        <v>185</v>
      </c>
      <c r="B55" s="20" t="str">
        <f>IF(AND(B49&gt;0,B54="YES"),"YES - Proceed to Phase 2","NO")</f>
        <v>NO</v>
      </c>
    </row>
  </sheetData>
  <mergeCells count="9">
    <mergeCell ref="A35:E35"/>
    <mergeCell ref="A48:B48"/>
    <mergeCell ref="A53:B53"/>
    <mergeCell ref="A1:E1"/>
    <mergeCell ref="A3:E3"/>
    <mergeCell ref="A5:E5"/>
    <mergeCell ref="A18:B18"/>
    <mergeCell ref="A27:B27"/>
    <mergeCell ref="A33:E33"/>
  </mergeCells>
  <pageMargins left="0.75" right="0.75" top="1" bottom="1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1F1AA-D787-4730-8A0E-6AEABFFB605D}">
  <dimension ref="A1:E55"/>
  <sheetViews>
    <sheetView zoomScaleNormal="100" workbookViewId="0">
      <selection activeCell="D8" sqref="D8"/>
    </sheetView>
  </sheetViews>
  <sheetFormatPr baseColWidth="10" defaultColWidth="8.6640625" defaultRowHeight="13.8" x14ac:dyDescent="0.25"/>
  <cols>
    <col min="1" max="1" width="35" style="4" customWidth="1"/>
    <col min="2" max="2" width="22.33203125" style="4" bestFit="1" customWidth="1"/>
    <col min="3" max="3" width="24.5546875" style="4" bestFit="1" customWidth="1"/>
    <col min="4" max="4" width="15" style="4" customWidth="1"/>
    <col min="5" max="5" width="26.5546875" style="4" customWidth="1"/>
    <col min="6" max="16384" width="8.6640625" style="4"/>
  </cols>
  <sheetData>
    <row r="1" spans="1:5" ht="16.8" x14ac:dyDescent="0.3">
      <c r="A1" s="46" t="s">
        <v>182</v>
      </c>
      <c r="B1" s="46"/>
      <c r="C1" s="46"/>
      <c r="D1" s="46"/>
      <c r="E1" s="46"/>
    </row>
    <row r="3" spans="1:5" ht="16.8" x14ac:dyDescent="0.3">
      <c r="A3" s="48" t="s">
        <v>183</v>
      </c>
      <c r="B3" s="48"/>
      <c r="C3" s="48"/>
      <c r="D3" s="48"/>
      <c r="E3" s="48"/>
    </row>
    <row r="5" spans="1:5" ht="15" x14ac:dyDescent="0.25">
      <c r="A5" s="47" t="s">
        <v>168</v>
      </c>
      <c r="B5" s="47"/>
      <c r="C5" s="47"/>
      <c r="D5" s="47"/>
      <c r="E5" s="47"/>
    </row>
    <row r="6" spans="1:5" x14ac:dyDescent="0.25">
      <c r="A6" s="21" t="s">
        <v>16</v>
      </c>
      <c r="B6" s="9" t="s">
        <v>66</v>
      </c>
      <c r="C6" s="9" t="s">
        <v>67</v>
      </c>
      <c r="D6" s="10" t="s">
        <v>68</v>
      </c>
      <c r="E6" s="10" t="s">
        <v>157</v>
      </c>
    </row>
    <row r="7" spans="1:5" x14ac:dyDescent="0.25">
      <c r="A7" s="11" t="s">
        <v>69</v>
      </c>
      <c r="B7" s="22">
        <v>118.35277948957101</v>
      </c>
      <c r="C7" s="22">
        <v>30202.008808966202</v>
      </c>
      <c r="D7" s="23">
        <f>C7/(8760*B7)</f>
        <v>2.9130857048192297E-2</v>
      </c>
      <c r="E7" s="14">
        <f>C7/$C$16</f>
        <v>6.2991734729957714E-4</v>
      </c>
    </row>
    <row r="8" spans="1:5" x14ac:dyDescent="0.25">
      <c r="A8" s="11" t="s">
        <v>70</v>
      </c>
      <c r="B8" s="22">
        <v>25.442795564115098</v>
      </c>
      <c r="C8" s="22">
        <v>7352.01357297082</v>
      </c>
      <c r="D8" s="23">
        <f t="shared" ref="D8:D15" si="0">C8/(8760*B8)</f>
        <v>3.2986585680164299E-2</v>
      </c>
      <c r="E8" s="14">
        <f t="shared" ref="E8:E15" si="1">C8/$C$16</f>
        <v>1.5333949859061666E-4</v>
      </c>
    </row>
    <row r="9" spans="1:5" x14ac:dyDescent="0.25">
      <c r="A9" s="11" t="s">
        <v>71</v>
      </c>
      <c r="B9" s="22">
        <v>316.04747525108201</v>
      </c>
      <c r="C9" s="22">
        <v>7248.9660603129905</v>
      </c>
      <c r="D9" s="23">
        <f t="shared" si="0"/>
        <v>2.618301381696568E-3</v>
      </c>
      <c r="E9" s="14">
        <f t="shared" si="1"/>
        <v>1.5119025692163305E-4</v>
      </c>
    </row>
    <row r="10" spans="1:5" x14ac:dyDescent="0.25">
      <c r="A10" s="11" t="s">
        <v>72</v>
      </c>
      <c r="B10" s="22">
        <v>1297.14256683545</v>
      </c>
      <c r="C10" s="22">
        <v>3220242.8015279216</v>
      </c>
      <c r="D10" s="23">
        <f t="shared" si="0"/>
        <v>0.28339801278900573</v>
      </c>
      <c r="E10" s="14">
        <f t="shared" si="1"/>
        <v>6.716396965611178E-2</v>
      </c>
    </row>
    <row r="11" spans="1:5" x14ac:dyDescent="0.25">
      <c r="A11" s="11" t="s">
        <v>73</v>
      </c>
      <c r="B11" s="22">
        <v>934.999991480777</v>
      </c>
      <c r="C11" s="22">
        <v>7962679.0839261506</v>
      </c>
      <c r="D11" s="23">
        <f t="shared" si="0"/>
        <v>0.97217287579394063</v>
      </c>
      <c r="E11" s="14">
        <f t="shared" si="1"/>
        <v>0.16607602883870148</v>
      </c>
    </row>
    <row r="12" spans="1:5" x14ac:dyDescent="0.25">
      <c r="A12" s="11" t="s">
        <v>74</v>
      </c>
      <c r="B12" s="22">
        <v>3297.0397987483002</v>
      </c>
      <c r="C12" s="22">
        <v>8681561.2695320193</v>
      </c>
      <c r="D12" s="23">
        <f t="shared" si="0"/>
        <v>0.30058654657442935</v>
      </c>
      <c r="E12" s="14">
        <f t="shared" si="1"/>
        <v>0.18106961294901852</v>
      </c>
    </row>
    <row r="13" spans="1:5" x14ac:dyDescent="0.25">
      <c r="A13" s="11" t="s">
        <v>75</v>
      </c>
      <c r="B13" s="22">
        <v>9331.02220295794</v>
      </c>
      <c r="C13" s="22">
        <v>19338250.2974771</v>
      </c>
      <c r="D13" s="23">
        <f t="shared" si="0"/>
        <v>0.2365831707748913</v>
      </c>
      <c r="E13" s="14">
        <f t="shared" si="1"/>
        <v>0.40333407641367408</v>
      </c>
    </row>
    <row r="14" spans="1:5" x14ac:dyDescent="0.25">
      <c r="A14" s="11" t="s">
        <v>165</v>
      </c>
      <c r="B14" s="22">
        <v>1295.0990252925201</v>
      </c>
      <c r="C14" s="22">
        <v>4220746.9362859298</v>
      </c>
      <c r="D14" s="23">
        <f t="shared" si="0"/>
        <v>0.37203365696907337</v>
      </c>
      <c r="E14" s="14">
        <f t="shared" si="1"/>
        <v>8.8031287274465783E-2</v>
      </c>
    </row>
    <row r="15" spans="1:5" x14ac:dyDescent="0.25">
      <c r="A15" s="11" t="s">
        <v>166</v>
      </c>
      <c r="B15" s="22">
        <v>864</v>
      </c>
      <c r="C15" s="22">
        <v>4477703.4073298797</v>
      </c>
      <c r="D15" s="23">
        <f t="shared" si="0"/>
        <v>0.59161268171426828</v>
      </c>
      <c r="E15" s="14">
        <f t="shared" si="1"/>
        <v>9.3390577765216615E-2</v>
      </c>
    </row>
    <row r="16" spans="1:5" x14ac:dyDescent="0.25">
      <c r="A16" s="15" t="s">
        <v>161</v>
      </c>
      <c r="B16" s="16">
        <f>SUM(B7:B15)</f>
        <v>17479.146635619752</v>
      </c>
      <c r="C16" s="16">
        <f>SUM(C7:C15)</f>
        <v>47945986.784521244</v>
      </c>
      <c r="D16" s="24"/>
      <c r="E16" s="24"/>
    </row>
    <row r="18" spans="1:2" ht="15" x14ac:dyDescent="0.25">
      <c r="A18" s="47" t="s">
        <v>78</v>
      </c>
      <c r="B18" s="47"/>
    </row>
    <row r="19" spans="1:2" x14ac:dyDescent="0.25">
      <c r="A19" s="25" t="s">
        <v>16</v>
      </c>
      <c r="B19" s="26" t="s">
        <v>170</v>
      </c>
    </row>
    <row r="20" spans="1:2" x14ac:dyDescent="0.25">
      <c r="A20" s="15" t="s">
        <v>79</v>
      </c>
      <c r="B20" s="16">
        <v>3887.83</v>
      </c>
    </row>
    <row r="21" spans="1:2" x14ac:dyDescent="0.25">
      <c r="A21" s="15" t="s">
        <v>80</v>
      </c>
      <c r="B21" s="16">
        <v>4.9100000000000001E-4</v>
      </c>
    </row>
    <row r="22" spans="1:2" x14ac:dyDescent="0.25">
      <c r="A22" s="15" t="s">
        <v>81</v>
      </c>
      <c r="B22" s="16">
        <v>9.2429999999999995E-3</v>
      </c>
    </row>
    <row r="23" spans="1:2" x14ac:dyDescent="0.25">
      <c r="A23" s="15" t="s">
        <v>82</v>
      </c>
      <c r="B23" s="16">
        <v>3351.16</v>
      </c>
    </row>
    <row r="24" spans="1:2" x14ac:dyDescent="0.25">
      <c r="A24" s="27" t="s">
        <v>151</v>
      </c>
      <c r="B24" s="28">
        <f>SUM(B20:B23)</f>
        <v>7238.9997339999991</v>
      </c>
    </row>
    <row r="27" spans="1:2" ht="15" x14ac:dyDescent="0.25">
      <c r="A27" s="47" t="s">
        <v>169</v>
      </c>
      <c r="B27" s="47"/>
    </row>
    <row r="28" spans="1:2" ht="16.2" x14ac:dyDescent="0.35">
      <c r="A28" s="29" t="s">
        <v>179</v>
      </c>
      <c r="B28" s="30">
        <f>(C7*2.130119023*0.202+C8*3.083775054*0.202+C9*2.709615897*0.267+C11*4.17*0.03)/1000</f>
        <v>1018.9507219191335</v>
      </c>
    </row>
    <row r="29" spans="1:2" x14ac:dyDescent="0.25">
      <c r="A29" s="29" t="s">
        <v>162</v>
      </c>
      <c r="B29" s="30">
        <v>37554.022381937022</v>
      </c>
    </row>
    <row r="30" spans="1:2" x14ac:dyDescent="0.25">
      <c r="A30" s="29" t="s">
        <v>163</v>
      </c>
      <c r="B30" s="30">
        <v>7248.9660603129905</v>
      </c>
    </row>
    <row r="31" spans="1:2" x14ac:dyDescent="0.25">
      <c r="A31" s="29" t="s">
        <v>164</v>
      </c>
      <c r="B31" s="30">
        <v>3220242.8015279216</v>
      </c>
    </row>
    <row r="33" spans="1:5" ht="16.8" x14ac:dyDescent="0.3">
      <c r="A33" s="46" t="s">
        <v>184</v>
      </c>
      <c r="B33" s="46"/>
      <c r="C33" s="46"/>
      <c r="D33" s="46"/>
      <c r="E33" s="46"/>
    </row>
    <row r="35" spans="1:5" ht="15" x14ac:dyDescent="0.25">
      <c r="A35" s="47" t="s">
        <v>171</v>
      </c>
      <c r="B35" s="47"/>
      <c r="C35" s="47"/>
      <c r="D35" s="47"/>
      <c r="E35" s="47"/>
    </row>
    <row r="36" spans="1:5" x14ac:dyDescent="0.25">
      <c r="A36" s="9" t="s">
        <v>16</v>
      </c>
      <c r="B36" s="10" t="s">
        <v>152</v>
      </c>
      <c r="C36" s="10" t="s">
        <v>153</v>
      </c>
      <c r="D36" s="9" t="s">
        <v>154</v>
      </c>
      <c r="E36" s="10" t="s">
        <v>83</v>
      </c>
    </row>
    <row r="37" spans="1:5" x14ac:dyDescent="0.25">
      <c r="A37" s="11" t="s">
        <v>69</v>
      </c>
      <c r="B37" s="12">
        <v>118</v>
      </c>
      <c r="C37" s="12">
        <v>30202</v>
      </c>
      <c r="D37" s="13">
        <f>C37/(8760*B37)</f>
        <v>2.9217939787942109E-2</v>
      </c>
      <c r="E37" s="14">
        <f>(C7-C37)/C7</f>
        <v>2.9166822173697856E-7</v>
      </c>
    </row>
    <row r="38" spans="1:5" x14ac:dyDescent="0.25">
      <c r="A38" s="11" t="s">
        <v>70</v>
      </c>
      <c r="B38" s="12">
        <v>25</v>
      </c>
      <c r="C38" s="12">
        <v>7352</v>
      </c>
      <c r="D38" s="13">
        <f t="shared" ref="D38:D45" si="2">C38/(8760*B38)</f>
        <v>3.3570776255707764E-2</v>
      </c>
      <c r="E38" s="14">
        <f t="shared" ref="E38:E45" si="3">(C8-C38)/C8</f>
        <v>1.8461569317350932E-6</v>
      </c>
    </row>
    <row r="39" spans="1:5" x14ac:dyDescent="0.25">
      <c r="A39" s="11" t="s">
        <v>71</v>
      </c>
      <c r="B39" s="12">
        <v>316</v>
      </c>
      <c r="C39" s="12">
        <v>7249</v>
      </c>
      <c r="D39" s="13">
        <f t="shared" si="2"/>
        <v>2.6187070111554247E-3</v>
      </c>
      <c r="E39" s="14">
        <f t="shared" si="3"/>
        <v>-4.6820038509068949E-6</v>
      </c>
    </row>
    <row r="40" spans="1:5" x14ac:dyDescent="0.25">
      <c r="A40" s="11" t="s">
        <v>72</v>
      </c>
      <c r="B40" s="12">
        <v>1297</v>
      </c>
      <c r="C40" s="12">
        <v>3220242</v>
      </c>
      <c r="D40" s="13">
        <f t="shared" si="2"/>
        <v>0.28342909348232487</v>
      </c>
      <c r="E40" s="14">
        <f t="shared" si="3"/>
        <v>2.4890294644731408E-7</v>
      </c>
    </row>
    <row r="41" spans="1:5" x14ac:dyDescent="0.25">
      <c r="A41" s="11" t="s">
        <v>73</v>
      </c>
      <c r="B41" s="12">
        <v>935</v>
      </c>
      <c r="C41" s="12">
        <v>7899787</v>
      </c>
      <c r="D41" s="13">
        <f t="shared" si="2"/>
        <v>0.96449429834200184</v>
      </c>
      <c r="E41" s="14">
        <f t="shared" si="3"/>
        <v>7.8983572316894679E-3</v>
      </c>
    </row>
    <row r="42" spans="1:5" x14ac:dyDescent="0.25">
      <c r="A42" s="11" t="s">
        <v>74</v>
      </c>
      <c r="B42" s="12">
        <v>3297</v>
      </c>
      <c r="C42" s="12">
        <v>8299427</v>
      </c>
      <c r="D42" s="13">
        <f t="shared" si="2"/>
        <v>0.28735916697482006</v>
      </c>
      <c r="E42" s="14">
        <f t="shared" si="3"/>
        <v>4.4016768144356858E-2</v>
      </c>
    </row>
    <row r="43" spans="1:5" x14ac:dyDescent="0.25">
      <c r="A43" s="11" t="s">
        <v>75</v>
      </c>
      <c r="B43" s="12">
        <v>9331</v>
      </c>
      <c r="C43" s="12">
        <v>18899634</v>
      </c>
      <c r="D43" s="13">
        <f t="shared" si="2"/>
        <v>0.23121771147287801</v>
      </c>
      <c r="E43" s="14">
        <f t="shared" si="3"/>
        <v>2.2681281436010923E-2</v>
      </c>
    </row>
    <row r="44" spans="1:5" x14ac:dyDescent="0.25">
      <c r="A44" s="11" t="s">
        <v>165</v>
      </c>
      <c r="B44" s="12">
        <v>1295</v>
      </c>
      <c r="C44" s="12">
        <v>4500304</v>
      </c>
      <c r="D44" s="13">
        <f t="shared" si="2"/>
        <v>0.39670527670527672</v>
      </c>
      <c r="E44" s="14">
        <f t="shared" si="3"/>
        <v>-6.6234026330910065E-2</v>
      </c>
    </row>
    <row r="45" spans="1:5" x14ac:dyDescent="0.25">
      <c r="A45" s="11" t="s">
        <v>166</v>
      </c>
      <c r="B45" s="12">
        <v>864</v>
      </c>
      <c r="C45" s="12">
        <v>4663926</v>
      </c>
      <c r="D45" s="13">
        <f t="shared" si="2"/>
        <v>0.61621718036529682</v>
      </c>
      <c r="E45" s="14">
        <f t="shared" si="3"/>
        <v>-4.1588862800800729E-2</v>
      </c>
    </row>
    <row r="46" spans="1:5" x14ac:dyDescent="0.25">
      <c r="A46" s="15" t="s">
        <v>161</v>
      </c>
      <c r="B46" s="16">
        <f>SUM(B37:B45)</f>
        <v>17478</v>
      </c>
      <c r="C46" s="16">
        <f>SUM(C37:C45)</f>
        <v>47528123</v>
      </c>
      <c r="D46" s="7"/>
      <c r="E46" s="8"/>
    </row>
    <row r="48" spans="1:5" ht="15" x14ac:dyDescent="0.25">
      <c r="A48" s="47" t="s">
        <v>84</v>
      </c>
      <c r="B48" s="47"/>
    </row>
    <row r="49" spans="1:2" x14ac:dyDescent="0.25">
      <c r="A49" s="17" t="s">
        <v>177</v>
      </c>
      <c r="B49" s="18">
        <v>1869078.208378</v>
      </c>
    </row>
    <row r="50" spans="1:2" x14ac:dyDescent="0.25">
      <c r="A50" s="17" t="s">
        <v>85</v>
      </c>
      <c r="B50" s="19">
        <f>B49/C46</f>
        <v>3.9325731596385576E-2</v>
      </c>
    </row>
    <row r="51" spans="1:2" x14ac:dyDescent="0.25">
      <c r="A51" s="17" t="s">
        <v>86</v>
      </c>
      <c r="B51" s="19" cm="1">
        <f t="array" ref="B51">MAX(ABS(E37:E45))</f>
        <v>6.6234026330910065E-2</v>
      </c>
    </row>
    <row r="53" spans="1:2" ht="15" x14ac:dyDescent="0.25">
      <c r="A53" s="47" t="s">
        <v>87</v>
      </c>
      <c r="B53" s="47"/>
    </row>
    <row r="54" spans="1:2" x14ac:dyDescent="0.25">
      <c r="A54" s="15" t="s">
        <v>88</v>
      </c>
      <c r="B54" s="20" t="str">
        <f>IF(B51&lt;0.1,"YES","NO")</f>
        <v>YES</v>
      </c>
    </row>
    <row r="55" spans="1:2" x14ac:dyDescent="0.25">
      <c r="A55" s="15" t="s">
        <v>185</v>
      </c>
      <c r="B55" s="20" t="str">
        <f>IF(AND(B49&gt;0,B54="YES"),"YES - Proceed to Phase 2","NO")</f>
        <v>YES - Proceed to Phase 2</v>
      </c>
    </row>
  </sheetData>
  <mergeCells count="9">
    <mergeCell ref="A35:E35"/>
    <mergeCell ref="A48:B48"/>
    <mergeCell ref="A53:B53"/>
    <mergeCell ref="A1:E1"/>
    <mergeCell ref="A3:E3"/>
    <mergeCell ref="A5:E5"/>
    <mergeCell ref="A18:B18"/>
    <mergeCell ref="A27:B27"/>
    <mergeCell ref="A33:E33"/>
  </mergeCells>
  <pageMargins left="0.75" right="0.75" top="1" bottom="1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5"/>
  <sheetViews>
    <sheetView topLeftCell="A4" zoomScaleNormal="100" workbookViewId="0">
      <selection activeCell="D9" sqref="D9"/>
    </sheetView>
  </sheetViews>
  <sheetFormatPr baseColWidth="10" defaultColWidth="8.6640625" defaultRowHeight="13.8" x14ac:dyDescent="0.25"/>
  <cols>
    <col min="1" max="1" width="22" style="4" customWidth="1"/>
    <col min="2" max="2" width="15" style="4" customWidth="1"/>
    <col min="3" max="3" width="17.77734375" style="4" bestFit="1" customWidth="1"/>
    <col min="4" max="4" width="17.77734375" style="4" customWidth="1"/>
    <col min="5" max="5" width="25.109375" style="4" bestFit="1" customWidth="1"/>
    <col min="6" max="6" width="15" style="4" customWidth="1"/>
    <col min="7" max="7" width="25" style="4" customWidth="1"/>
    <col min="8" max="16384" width="8.6640625" style="4"/>
  </cols>
  <sheetData>
    <row r="1" spans="1:7" s="35" customFormat="1" ht="16.8" x14ac:dyDescent="0.3">
      <c r="A1" s="49" t="s">
        <v>89</v>
      </c>
      <c r="B1" s="49"/>
      <c r="C1" s="49"/>
      <c r="D1" s="49"/>
      <c r="E1" s="49"/>
      <c r="F1" s="49"/>
      <c r="G1" s="49"/>
    </row>
    <row r="3" spans="1:7" x14ac:dyDescent="0.25">
      <c r="A3" s="1" t="s">
        <v>90</v>
      </c>
      <c r="B3" s="4" t="s">
        <v>91</v>
      </c>
    </row>
    <row r="4" spans="1:7" x14ac:dyDescent="0.25">
      <c r="B4" s="4" t="s">
        <v>92</v>
      </c>
    </row>
    <row r="6" spans="1:7" ht="15" x14ac:dyDescent="0.25">
      <c r="A6" s="50" t="s">
        <v>93</v>
      </c>
      <c r="B6" s="50"/>
      <c r="C6" s="50"/>
      <c r="D6" s="37"/>
      <c r="E6" s="36"/>
    </row>
    <row r="7" spans="1:7" x14ac:dyDescent="0.25">
      <c r="A7" s="32" t="s">
        <v>16</v>
      </c>
      <c r="B7" s="32" t="s">
        <v>94</v>
      </c>
      <c r="C7" s="25" t="s">
        <v>95</v>
      </c>
      <c r="D7" s="24"/>
    </row>
    <row r="8" spans="1:7" x14ac:dyDescent="0.25">
      <c r="A8" s="11" t="s">
        <v>69</v>
      </c>
      <c r="B8" s="22">
        <f>'PHASE 1_N'!B7</f>
        <v>118.35277948957101</v>
      </c>
      <c r="C8" s="15" t="s">
        <v>96</v>
      </c>
      <c r="D8" s="24"/>
    </row>
    <row r="9" spans="1:7" x14ac:dyDescent="0.25">
      <c r="A9" s="11" t="s">
        <v>70</v>
      </c>
      <c r="B9" s="22">
        <f>'PHASE 1_N'!B8</f>
        <v>25.442795564115098</v>
      </c>
      <c r="C9" s="15" t="s">
        <v>96</v>
      </c>
      <c r="D9" s="24"/>
    </row>
    <row r="10" spans="1:7" x14ac:dyDescent="0.25">
      <c r="A10" s="11" t="s">
        <v>71</v>
      </c>
      <c r="B10" s="22">
        <f>'PHASE 1_N'!B9</f>
        <v>316.04747525108201</v>
      </c>
      <c r="C10" s="15" t="s">
        <v>96</v>
      </c>
      <c r="D10" s="24"/>
    </row>
    <row r="11" spans="1:7" x14ac:dyDescent="0.25">
      <c r="A11" s="11" t="s">
        <v>72</v>
      </c>
      <c r="B11" s="22">
        <f>'PHASE 1_N'!B10</f>
        <v>1297.14256683545</v>
      </c>
      <c r="C11" s="15" t="s">
        <v>96</v>
      </c>
      <c r="D11" s="24"/>
    </row>
    <row r="12" spans="1:7" x14ac:dyDescent="0.25">
      <c r="A12" s="11" t="s">
        <v>73</v>
      </c>
      <c r="B12" s="22">
        <f>'PHASE 1_N'!B11</f>
        <v>934.999991480777</v>
      </c>
      <c r="C12" s="15" t="s">
        <v>96</v>
      </c>
      <c r="D12" s="24"/>
    </row>
    <row r="13" spans="1:7" x14ac:dyDescent="0.25">
      <c r="A13" s="11" t="s">
        <v>74</v>
      </c>
      <c r="B13" s="22">
        <f>'PHASE 1_N'!B12</f>
        <v>3297.0397987483002</v>
      </c>
      <c r="C13" s="15" t="s">
        <v>96</v>
      </c>
      <c r="D13" s="24"/>
    </row>
    <row r="14" spans="1:7" x14ac:dyDescent="0.25">
      <c r="A14" s="11" t="s">
        <v>75</v>
      </c>
      <c r="B14" s="22">
        <f>'PHASE 1_N'!B13</f>
        <v>9331.02220295794</v>
      </c>
      <c r="C14" s="15" t="s">
        <v>96</v>
      </c>
      <c r="D14" s="24"/>
    </row>
    <row r="15" spans="1:7" x14ac:dyDescent="0.25">
      <c r="A15" s="11" t="s">
        <v>76</v>
      </c>
      <c r="B15" s="22">
        <f>'PHASE 1_N'!B14</f>
        <v>1295.0990252925201</v>
      </c>
      <c r="C15" s="15" t="s">
        <v>96</v>
      </c>
      <c r="D15" s="24"/>
    </row>
    <row r="16" spans="1:7" x14ac:dyDescent="0.25">
      <c r="A16" s="11" t="s">
        <v>77</v>
      </c>
      <c r="B16" s="22">
        <f>'PHASE 1_N'!B15</f>
        <v>864</v>
      </c>
      <c r="C16" s="15" t="s">
        <v>96</v>
      </c>
      <c r="D16" s="24"/>
    </row>
    <row r="19" spans="1:7" ht="15" x14ac:dyDescent="0.25">
      <c r="A19" s="50" t="s">
        <v>97</v>
      </c>
      <c r="B19" s="50"/>
      <c r="C19" s="50"/>
      <c r="D19" s="50"/>
      <c r="E19" s="50"/>
      <c r="F19" s="50"/>
      <c r="G19" s="50"/>
    </row>
    <row r="20" spans="1:7" x14ac:dyDescent="0.25">
      <c r="A20" s="32" t="s">
        <v>16</v>
      </c>
      <c r="B20" s="32" t="s">
        <v>94</v>
      </c>
      <c r="C20" s="32" t="s">
        <v>98</v>
      </c>
      <c r="D20" s="33" t="s">
        <v>181</v>
      </c>
      <c r="E20" s="33" t="s">
        <v>99</v>
      </c>
      <c r="F20" s="32" t="s">
        <v>100</v>
      </c>
      <c r="G20" s="34" t="s">
        <v>95</v>
      </c>
    </row>
    <row r="21" spans="1:7" x14ac:dyDescent="0.25">
      <c r="A21" s="11" t="s">
        <v>69</v>
      </c>
      <c r="B21" s="22">
        <f>B8</f>
        <v>118.35277948957101</v>
      </c>
      <c r="C21" s="22">
        <v>608</v>
      </c>
      <c r="D21" s="12">
        <v>30202</v>
      </c>
      <c r="E21" s="38">
        <f t="shared" ref="E21:E29" si="0">C21-B21</f>
        <v>489.64722051042901</v>
      </c>
      <c r="F21" s="13">
        <f>D21/(8760*C21)</f>
        <v>5.6705869983177124E-3</v>
      </c>
      <c r="G21" s="15"/>
    </row>
    <row r="22" spans="1:7" x14ac:dyDescent="0.25">
      <c r="A22" s="11" t="s">
        <v>70</v>
      </c>
      <c r="B22" s="22">
        <f t="shared" ref="B22:B29" si="1">B9</f>
        <v>25.442795564115098</v>
      </c>
      <c r="C22" s="22">
        <v>252</v>
      </c>
      <c r="D22" s="12">
        <v>7352</v>
      </c>
      <c r="E22" s="38">
        <f t="shared" si="0"/>
        <v>226.5572044358849</v>
      </c>
      <c r="F22" s="13">
        <f t="shared" ref="F22:F29" si="2">D22/(8760*C22)</f>
        <v>3.3304341523519606E-3</v>
      </c>
      <c r="G22" s="15"/>
    </row>
    <row r="23" spans="1:7" x14ac:dyDescent="0.25">
      <c r="A23" s="11" t="s">
        <v>71</v>
      </c>
      <c r="B23" s="22">
        <f t="shared" si="1"/>
        <v>316.04747525108201</v>
      </c>
      <c r="C23" s="22">
        <v>545</v>
      </c>
      <c r="D23" s="12">
        <v>7249</v>
      </c>
      <c r="E23" s="38">
        <f t="shared" si="0"/>
        <v>228.95252474891799</v>
      </c>
      <c r="F23" s="13">
        <f t="shared" si="2"/>
        <v>1.5183695697708517E-3</v>
      </c>
      <c r="G23" s="15"/>
    </row>
    <row r="24" spans="1:7" x14ac:dyDescent="0.25">
      <c r="A24" s="11" t="s">
        <v>72</v>
      </c>
      <c r="B24" s="22">
        <f t="shared" si="1"/>
        <v>1297.14256683545</v>
      </c>
      <c r="C24" s="22">
        <v>2220</v>
      </c>
      <c r="D24" s="12">
        <v>3220242</v>
      </c>
      <c r="E24" s="38">
        <f t="shared" si="0"/>
        <v>922.85743316455</v>
      </c>
      <c r="F24" s="13">
        <f t="shared" si="2"/>
        <v>0.16558897939034925</v>
      </c>
      <c r="G24" s="15"/>
    </row>
    <row r="25" spans="1:7" x14ac:dyDescent="0.25">
      <c r="A25" s="11" t="s">
        <v>73</v>
      </c>
      <c r="B25" s="22">
        <f t="shared" si="1"/>
        <v>934.999991480777</v>
      </c>
      <c r="C25" s="22">
        <v>935</v>
      </c>
      <c r="D25" s="12">
        <v>8171720</v>
      </c>
      <c r="E25" s="38">
        <f t="shared" si="0"/>
        <v>8.5192230017128168E-6</v>
      </c>
      <c r="F25" s="13">
        <f t="shared" si="2"/>
        <v>0.99769491856518444</v>
      </c>
      <c r="G25" s="15"/>
    </row>
    <row r="26" spans="1:7" x14ac:dyDescent="0.25">
      <c r="A26" s="11" t="s">
        <v>74</v>
      </c>
      <c r="B26" s="22">
        <f t="shared" si="1"/>
        <v>3297.0397987483002</v>
      </c>
      <c r="C26" s="22">
        <v>3297</v>
      </c>
      <c r="D26" s="12">
        <v>7594288</v>
      </c>
      <c r="E26" s="38">
        <f t="shared" si="0"/>
        <v>-3.9798748300199804E-2</v>
      </c>
      <c r="F26" s="13">
        <f t="shared" si="2"/>
        <v>0.26294445067676026</v>
      </c>
      <c r="G26" s="15"/>
    </row>
    <row r="27" spans="1:7" x14ac:dyDescent="0.25">
      <c r="A27" s="11" t="s">
        <v>75</v>
      </c>
      <c r="B27" s="22">
        <f t="shared" si="1"/>
        <v>9331.02220295794</v>
      </c>
      <c r="C27" s="22">
        <v>10788</v>
      </c>
      <c r="D27" s="12">
        <v>19730314</v>
      </c>
      <c r="E27" s="38">
        <f t="shared" si="0"/>
        <v>1456.97779704206</v>
      </c>
      <c r="F27" s="13">
        <f t="shared" si="2"/>
        <v>0.2087800287144688</v>
      </c>
      <c r="G27" s="15"/>
    </row>
    <row r="28" spans="1:7" x14ac:dyDescent="0.25">
      <c r="A28" s="11" t="s">
        <v>76</v>
      </c>
      <c r="B28" s="22">
        <f t="shared" si="1"/>
        <v>1295.0990252925201</v>
      </c>
      <c r="C28" s="22">
        <v>1295</v>
      </c>
      <c r="D28" s="12">
        <v>4500097</v>
      </c>
      <c r="E28" s="38">
        <f t="shared" si="0"/>
        <v>-9.9025292520082075E-2</v>
      </c>
      <c r="F28" s="13">
        <f t="shared" si="2"/>
        <v>0.3966870294952487</v>
      </c>
      <c r="G28" s="15"/>
    </row>
    <row r="29" spans="1:7" x14ac:dyDescent="0.25">
      <c r="A29" s="11" t="s">
        <v>77</v>
      </c>
      <c r="B29" s="22">
        <f t="shared" si="1"/>
        <v>864</v>
      </c>
      <c r="C29" s="22">
        <v>864</v>
      </c>
      <c r="D29" s="12">
        <v>4765837</v>
      </c>
      <c r="E29" s="38">
        <f t="shared" si="0"/>
        <v>0</v>
      </c>
      <c r="F29" s="13">
        <f t="shared" si="2"/>
        <v>0.62968208291053607</v>
      </c>
      <c r="G29" s="15"/>
    </row>
    <row r="32" spans="1:7" ht="15" x14ac:dyDescent="0.25">
      <c r="A32" s="50" t="s">
        <v>101</v>
      </c>
      <c r="B32" s="50"/>
    </row>
    <row r="33" spans="1:2" x14ac:dyDescent="0.25">
      <c r="A33" s="17" t="s">
        <v>177</v>
      </c>
      <c r="B33" s="17">
        <v>0.1</v>
      </c>
    </row>
    <row r="34" spans="1:2" x14ac:dyDescent="0.25">
      <c r="A34" s="17" t="s">
        <v>85</v>
      </c>
      <c r="B34" s="19">
        <f>B33/SUM(D21:D29)</f>
        <v>2.0821490676729888E-9</v>
      </c>
    </row>
    <row r="35" spans="1:2" x14ac:dyDescent="0.25">
      <c r="A35" s="17" t="s">
        <v>102</v>
      </c>
      <c r="B35" s="42" t="str">
        <f>IF(B34&lt;0.1,"YES","NO")</f>
        <v>YES</v>
      </c>
    </row>
  </sheetData>
  <mergeCells count="4">
    <mergeCell ref="A1:G1"/>
    <mergeCell ref="A19:G19"/>
    <mergeCell ref="A32:B32"/>
    <mergeCell ref="A6:C6"/>
  </mergeCells>
  <pageMargins left="0.75" right="0.75" top="1" bottom="1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Normal="100" workbookViewId="0">
      <selection activeCell="H9" sqref="H9"/>
    </sheetView>
  </sheetViews>
  <sheetFormatPr baseColWidth="10" defaultColWidth="8.6640625" defaultRowHeight="13.8" x14ac:dyDescent="0.25"/>
  <cols>
    <col min="1" max="1" width="21.21875" style="4" bestFit="1" customWidth="1"/>
    <col min="2" max="3" width="15" style="4" customWidth="1"/>
    <col min="4" max="4" width="45.44140625" style="4" bestFit="1" customWidth="1"/>
    <col min="5" max="6" width="18" style="4" customWidth="1"/>
    <col min="7" max="7" width="15" style="4" customWidth="1"/>
    <col min="8" max="8" width="45" style="4" customWidth="1"/>
    <col min="9" max="16384" width="8.6640625" style="4"/>
  </cols>
  <sheetData>
    <row r="1" spans="1:8" ht="15" x14ac:dyDescent="0.25">
      <c r="A1" s="47" t="s">
        <v>103</v>
      </c>
      <c r="B1" s="47"/>
      <c r="C1" s="47"/>
      <c r="D1" s="47"/>
      <c r="E1" s="47"/>
      <c r="F1" s="47"/>
      <c r="G1" s="47"/>
      <c r="H1" s="47"/>
    </row>
    <row r="2" spans="1:8" x14ac:dyDescent="0.25">
      <c r="A2" s="43" t="s">
        <v>104</v>
      </c>
      <c r="B2" s="43" t="s">
        <v>58</v>
      </c>
      <c r="C2" s="43" t="s">
        <v>38</v>
      </c>
      <c r="D2" s="43" t="s">
        <v>41</v>
      </c>
      <c r="E2" s="44" t="s">
        <v>105</v>
      </c>
      <c r="F2" s="43" t="s">
        <v>106</v>
      </c>
      <c r="G2" s="43" t="s">
        <v>107</v>
      </c>
      <c r="H2" s="43" t="s">
        <v>95</v>
      </c>
    </row>
    <row r="3" spans="1:8" x14ac:dyDescent="0.25">
      <c r="A3" s="20">
        <v>1</v>
      </c>
      <c r="B3" s="15" t="s">
        <v>104</v>
      </c>
      <c r="C3" s="41">
        <f>'PHASE 1_1'!B51</f>
        <v>0.16642126262553011</v>
      </c>
      <c r="D3" s="41">
        <f>'PHASE 1_1'!B50</f>
        <v>9.8145758449490444E-2</v>
      </c>
      <c r="E3" s="12">
        <f>'PHASE 1_1'!C16</f>
        <v>51940507.609900437</v>
      </c>
      <c r="F3" s="16">
        <f>'PHASE 1_1'!C46</f>
        <v>49610684</v>
      </c>
      <c r="G3" s="15" t="s">
        <v>108</v>
      </c>
      <c r="H3" s="15" t="s">
        <v>109</v>
      </c>
    </row>
    <row r="4" spans="1:8" x14ac:dyDescent="0.25">
      <c r="A4" s="20">
        <v>2</v>
      </c>
      <c r="B4" s="15" t="s">
        <v>104</v>
      </c>
      <c r="C4" s="41">
        <f>'PHASE 1_2'!B51</f>
        <v>0.15511402113739797</v>
      </c>
      <c r="D4" s="41">
        <f>'PHASE 1_2'!B50</f>
        <v>5.9003345461792658E-2</v>
      </c>
      <c r="E4" s="12">
        <f>'PHASE 1_2'!C16</f>
        <v>50209399.93235793</v>
      </c>
      <c r="F4" s="16">
        <f>'PHASE 1_2'!C46</f>
        <v>48625687</v>
      </c>
      <c r="G4" s="15" t="s">
        <v>108</v>
      </c>
      <c r="H4" s="15" t="s">
        <v>110</v>
      </c>
    </row>
    <row r="5" spans="1:8" x14ac:dyDescent="0.25">
      <c r="A5" s="20" t="s">
        <v>111</v>
      </c>
      <c r="B5" s="15" t="s">
        <v>104</v>
      </c>
      <c r="C5" s="40" t="s">
        <v>112</v>
      </c>
      <c r="D5" s="41">
        <f>'PHASE 1_N'!B50</f>
        <v>3.9325731596385576E-2</v>
      </c>
      <c r="E5" s="12">
        <f>'PHASE 1_N'!C16</f>
        <v>47945986.784521244</v>
      </c>
      <c r="F5" s="16">
        <f>'PHASE 1_N'!C46</f>
        <v>47528123</v>
      </c>
      <c r="G5" s="15" t="s">
        <v>113</v>
      </c>
      <c r="H5" s="15" t="s">
        <v>114</v>
      </c>
    </row>
    <row r="6" spans="1:8" x14ac:dyDescent="0.25">
      <c r="A6" s="20" t="s">
        <v>115</v>
      </c>
      <c r="B6" s="15" t="s">
        <v>116</v>
      </c>
      <c r="C6" s="15"/>
      <c r="D6" s="41">
        <f>'PHASE 2'!B34</f>
        <v>2.0821490676729888E-9</v>
      </c>
      <c r="E6" s="12">
        <f>SUM('PHASE 2'!D21:D29)</f>
        <v>48027301</v>
      </c>
      <c r="F6" s="16">
        <f>SUM('PHASE 2'!D21:D29)</f>
        <v>48027301</v>
      </c>
      <c r="G6" s="15" t="s">
        <v>117</v>
      </c>
      <c r="H6" s="15" t="s">
        <v>197</v>
      </c>
    </row>
    <row r="9" spans="1:8" ht="15" x14ac:dyDescent="0.25">
      <c r="A9" s="47" t="s">
        <v>118</v>
      </c>
      <c r="B9" s="47"/>
      <c r="C9" s="47"/>
      <c r="D9" s="47"/>
    </row>
    <row r="10" spans="1:8" x14ac:dyDescent="0.25">
      <c r="A10" s="39" t="s">
        <v>119</v>
      </c>
      <c r="B10" s="39" t="s">
        <v>120</v>
      </c>
      <c r="C10" s="39" t="s">
        <v>121</v>
      </c>
      <c r="D10" s="39" t="s">
        <v>14</v>
      </c>
    </row>
    <row r="11" spans="1:8" x14ac:dyDescent="0.25">
      <c r="A11" s="15" t="s">
        <v>60</v>
      </c>
      <c r="B11" s="15">
        <v>10</v>
      </c>
      <c r="C11" s="15" t="s">
        <v>34</v>
      </c>
      <c r="D11" s="15" t="s">
        <v>122</v>
      </c>
    </row>
    <row r="12" spans="1:8" x14ac:dyDescent="0.25">
      <c r="A12" s="15" t="s">
        <v>64</v>
      </c>
      <c r="B12" s="15">
        <v>10</v>
      </c>
      <c r="C12" s="15" t="s">
        <v>18</v>
      </c>
      <c r="D12" s="15" t="s">
        <v>65</v>
      </c>
    </row>
  </sheetData>
  <mergeCells count="2">
    <mergeCell ref="A1:H1"/>
    <mergeCell ref="A9:D9"/>
  </mergeCells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README</vt:lpstr>
      <vt:lpstr>SCHEMA_DEFINITION</vt:lpstr>
      <vt:lpstr>PHASE 1_1</vt:lpstr>
      <vt:lpstr>PHASE 1_2</vt:lpstr>
      <vt:lpstr>PHASE 1_N</vt:lpstr>
      <vt:lpstr>PHASE 2</vt:lpstr>
      <vt:lpstr>ITERATION_LOG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PABLO</cp:lastModifiedBy>
  <cp:revision>0</cp:revision>
  <dcterms:created xsi:type="dcterms:W3CDTF">2026-01-14T20:15:42Z</dcterms:created>
  <dcterms:modified xsi:type="dcterms:W3CDTF">2026-01-14T21:58:19Z</dcterms:modified>
  <dc:language>en-US</dc:language>
</cp:coreProperties>
</file>