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6.xml" ContentType="application/vnd.openxmlformats-officedocument.drawing+xml"/>
  <Override PartName="/xl/charts/chart7.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defaultThemeVersion="124226"/>
  <mc:AlternateContent xmlns:mc="http://schemas.openxmlformats.org/markup-compatibility/2006">
    <mc:Choice Requires="x15">
      <x15ac:absPath xmlns:x15ac="http://schemas.microsoft.com/office/spreadsheetml/2010/11/ac" url="C:\Data_G_teaching\ECON2255\2_tp\2022\"/>
    </mc:Choice>
  </mc:AlternateContent>
  <xr:revisionPtr revIDLastSave="0" documentId="13_ncr:1_{7AC5F51B-EF9B-48E2-9227-527729D8846E}" xr6:coauthVersionLast="47" xr6:coauthVersionMax="47" xr10:uidLastSave="{00000000-0000-0000-0000-000000000000}"/>
  <bookViews>
    <workbookView xWindow="-120" yWindow="-120" windowWidth="29040" windowHeight="15840" tabRatio="886" activeTab="9" xr2:uid="{00000000-000D-0000-FFFF-FFFF00000000}"/>
  </bookViews>
  <sheets>
    <sheet name="exercice_1" sheetId="1" r:id="rId1"/>
    <sheet name="exercice_2" sheetId="3" r:id="rId2"/>
    <sheet name="exercice_3" sheetId="2" r:id="rId3"/>
    <sheet name="exercice_4" sheetId="11" r:id="rId4"/>
    <sheet name="exercice_5" sheetId="9" r:id="rId5"/>
    <sheet name="exercice_6" sheetId="17" r:id="rId6"/>
    <sheet name="exercice_7" sheetId="23" r:id="rId7"/>
    <sheet name="exercice_8" sheetId="18" r:id="rId8"/>
    <sheet name="exercice_9" sheetId="24" r:id="rId9"/>
    <sheet name="exercice_10" sheetId="25" r:id="rId10"/>
    <sheet name="exercice_11" sheetId="26" r:id="rId11"/>
    <sheet name="exercice_12" sheetId="29" r:id="rId12"/>
    <sheet name="exercice_13" sheetId="30" r:id="rId13"/>
    <sheet name="TableProd" sheetId="28" r:id="rId14"/>
    <sheet name="Prix" sheetId="7" r:id="rId15"/>
    <sheet name="Répartition" sheetId="5" r:id="rId16"/>
  </sheets>
  <definedNames>
    <definedName name="solver_adj" localSheetId="0" hidden="1">exercice_1!$O$13</definedName>
    <definedName name="solver_adj" localSheetId="9" hidden="1">exercice_10!$C$17</definedName>
    <definedName name="solver_adj" localSheetId="3" hidden="1">exercice_4!$R$87</definedName>
    <definedName name="solver_adj" localSheetId="5" hidden="1">exercice_6!$U$11</definedName>
    <definedName name="solver_adj" localSheetId="6" hidden="1">exercice_7!$N$14</definedName>
    <definedName name="solver_cvg" localSheetId="0" hidden="1">0.0001</definedName>
    <definedName name="solver_cvg" localSheetId="9" hidden="1">0.0001</definedName>
    <definedName name="solver_cvg" localSheetId="3" hidden="1">0.0001</definedName>
    <definedName name="solver_cvg" localSheetId="5" hidden="1">0.0001</definedName>
    <definedName name="solver_cvg" localSheetId="6" hidden="1">0.0001</definedName>
    <definedName name="solver_drv" localSheetId="0" hidden="1">1</definedName>
    <definedName name="solver_drv" localSheetId="9" hidden="1">1</definedName>
    <definedName name="solver_drv" localSheetId="3" hidden="1">1</definedName>
    <definedName name="solver_drv" localSheetId="5" hidden="1">1</definedName>
    <definedName name="solver_drv" localSheetId="6" hidden="1">1</definedName>
    <definedName name="solver_eng" localSheetId="0" hidden="1">1</definedName>
    <definedName name="solver_eng" localSheetId="9" hidden="1">1</definedName>
    <definedName name="solver_eng" localSheetId="3" hidden="1">1</definedName>
    <definedName name="solver_eng" localSheetId="5" hidden="1">1</definedName>
    <definedName name="solver_eng" localSheetId="6" hidden="1">1</definedName>
    <definedName name="solver_est" localSheetId="0" hidden="1">1</definedName>
    <definedName name="solver_est" localSheetId="9" hidden="1">1</definedName>
    <definedName name="solver_est" localSheetId="3" hidden="1">1</definedName>
    <definedName name="solver_est" localSheetId="5" hidden="1">1</definedName>
    <definedName name="solver_est" localSheetId="6" hidden="1">1</definedName>
    <definedName name="solver_itr" localSheetId="0" hidden="1">2147483647</definedName>
    <definedName name="solver_itr" localSheetId="9" hidden="1">2147483647</definedName>
    <definedName name="solver_itr" localSheetId="3" hidden="1">2147483647</definedName>
    <definedName name="solver_itr" localSheetId="5" hidden="1">2147483647</definedName>
    <definedName name="solver_itr" localSheetId="6" hidden="1">2147483647</definedName>
    <definedName name="solver_lhs1" localSheetId="0" hidden="1">exercice_1!$O$13</definedName>
    <definedName name="solver_lhs1" localSheetId="5" hidden="1">exercice_6!$I$17</definedName>
    <definedName name="solver_lhs2" localSheetId="0" hidden="1">exercice_1!$O$13</definedName>
    <definedName name="solver_lhs2" localSheetId="5" hidden="1">exercice_6!$I$17</definedName>
    <definedName name="solver_mip" localSheetId="0" hidden="1">2147483647</definedName>
    <definedName name="solver_mip" localSheetId="9" hidden="1">2147483647</definedName>
    <definedName name="solver_mip" localSheetId="3" hidden="1">2147483647</definedName>
    <definedName name="solver_mip" localSheetId="5" hidden="1">2147483647</definedName>
    <definedName name="solver_mip" localSheetId="6" hidden="1">2147483647</definedName>
    <definedName name="solver_mni" localSheetId="0" hidden="1">30</definedName>
    <definedName name="solver_mni" localSheetId="9" hidden="1">30</definedName>
    <definedName name="solver_mni" localSheetId="3" hidden="1">30</definedName>
    <definedName name="solver_mni" localSheetId="5" hidden="1">30</definedName>
    <definedName name="solver_mni" localSheetId="6" hidden="1">30</definedName>
    <definedName name="solver_mrt" localSheetId="0" hidden="1">0.075</definedName>
    <definedName name="solver_mrt" localSheetId="9" hidden="1">0.075</definedName>
    <definedName name="solver_mrt" localSheetId="3" hidden="1">0.075</definedName>
    <definedName name="solver_mrt" localSheetId="5" hidden="1">0.075</definedName>
    <definedName name="solver_mrt" localSheetId="6" hidden="1">0.075</definedName>
    <definedName name="solver_msl" localSheetId="0" hidden="1">2</definedName>
    <definedName name="solver_msl" localSheetId="9" hidden="1">2</definedName>
    <definedName name="solver_msl" localSheetId="3" hidden="1">2</definedName>
    <definedName name="solver_msl" localSheetId="5" hidden="1">2</definedName>
    <definedName name="solver_msl" localSheetId="6" hidden="1">2</definedName>
    <definedName name="solver_neg" localSheetId="0" hidden="1">1</definedName>
    <definedName name="solver_neg" localSheetId="9" hidden="1">1</definedName>
    <definedName name="solver_neg" localSheetId="3" hidden="1">1</definedName>
    <definedName name="solver_neg" localSheetId="5" hidden="1">1</definedName>
    <definedName name="solver_neg" localSheetId="6" hidden="1">1</definedName>
    <definedName name="solver_nod" localSheetId="0" hidden="1">2147483647</definedName>
    <definedName name="solver_nod" localSheetId="9" hidden="1">2147483647</definedName>
    <definedName name="solver_nod" localSheetId="3" hidden="1">2147483647</definedName>
    <definedName name="solver_nod" localSheetId="5" hidden="1">2147483647</definedName>
    <definedName name="solver_nod" localSheetId="6" hidden="1">2147483647</definedName>
    <definedName name="solver_num" localSheetId="0" hidden="1">2</definedName>
    <definedName name="solver_num" localSheetId="9" hidden="1">0</definedName>
    <definedName name="solver_num" localSheetId="3" hidden="1">0</definedName>
    <definedName name="solver_num" localSheetId="5" hidden="1">0</definedName>
    <definedName name="solver_num" localSheetId="6" hidden="1">0</definedName>
    <definedName name="solver_nwt" localSheetId="0" hidden="1">1</definedName>
    <definedName name="solver_nwt" localSheetId="9" hidden="1">1</definedName>
    <definedName name="solver_nwt" localSheetId="3" hidden="1">1</definedName>
    <definedName name="solver_nwt" localSheetId="5" hidden="1">1</definedName>
    <definedName name="solver_nwt" localSheetId="6" hidden="1">1</definedName>
    <definedName name="solver_opt" localSheetId="0" hidden="1">exercice_1!$O$29</definedName>
    <definedName name="solver_opt" localSheetId="9" hidden="1">exercice_10!$H$36</definedName>
    <definedName name="solver_opt" localSheetId="3" hidden="1">exercice_4!$Q$102</definedName>
    <definedName name="solver_opt" localSheetId="5" hidden="1">exercice_6!$U$69</definedName>
    <definedName name="solver_opt" localSheetId="6" hidden="1">exercice_7!$Q$21</definedName>
    <definedName name="solver_pre" localSheetId="0" hidden="1">0.000001</definedName>
    <definedName name="solver_pre" localSheetId="9" hidden="1">0.000001</definedName>
    <definedName name="solver_pre" localSheetId="3" hidden="1">0.000001</definedName>
    <definedName name="solver_pre" localSheetId="5" hidden="1">0.000001</definedName>
    <definedName name="solver_pre" localSheetId="6" hidden="1">0.000001</definedName>
    <definedName name="solver_rbv" localSheetId="0" hidden="1">1</definedName>
    <definedName name="solver_rbv" localSheetId="9" hidden="1">1</definedName>
    <definedName name="solver_rbv" localSheetId="3" hidden="1">1</definedName>
    <definedName name="solver_rbv" localSheetId="5" hidden="1">1</definedName>
    <definedName name="solver_rbv" localSheetId="6" hidden="1">1</definedName>
    <definedName name="solver_rel1" localSheetId="0" hidden="1">1</definedName>
    <definedName name="solver_rel1" localSheetId="5" hidden="1">3</definedName>
    <definedName name="solver_rel2" localSheetId="0" hidden="1">3</definedName>
    <definedName name="solver_rel2" localSheetId="5" hidden="1">3</definedName>
    <definedName name="solver_rhs1" localSheetId="0" hidden="1">2</definedName>
    <definedName name="solver_rhs1" localSheetId="5" hidden="1">1</definedName>
    <definedName name="solver_rhs2" localSheetId="0" hidden="1">-1</definedName>
    <definedName name="solver_rhs2" localSheetId="5" hidden="1">1</definedName>
    <definedName name="solver_rlx" localSheetId="0" hidden="1">2</definedName>
    <definedName name="solver_rlx" localSheetId="9" hidden="1">2</definedName>
    <definedName name="solver_rlx" localSheetId="3" hidden="1">2</definedName>
    <definedName name="solver_rlx" localSheetId="5" hidden="1">2</definedName>
    <definedName name="solver_rlx" localSheetId="6" hidden="1">2</definedName>
    <definedName name="solver_rsd" localSheetId="0" hidden="1">0</definedName>
    <definedName name="solver_rsd" localSheetId="9" hidden="1">0</definedName>
    <definedName name="solver_rsd" localSheetId="3" hidden="1">0</definedName>
    <definedName name="solver_rsd" localSheetId="5" hidden="1">0</definedName>
    <definedName name="solver_rsd" localSheetId="6" hidden="1">0</definedName>
    <definedName name="solver_scl" localSheetId="0" hidden="1">1</definedName>
    <definedName name="solver_scl" localSheetId="9" hidden="1">1</definedName>
    <definedName name="solver_scl" localSheetId="3" hidden="1">1</definedName>
    <definedName name="solver_scl" localSheetId="5" hidden="1">1</definedName>
    <definedName name="solver_scl" localSheetId="6" hidden="1">1</definedName>
    <definedName name="solver_sho" localSheetId="0" hidden="1">2</definedName>
    <definedName name="solver_sho" localSheetId="9" hidden="1">2</definedName>
    <definedName name="solver_sho" localSheetId="3" hidden="1">2</definedName>
    <definedName name="solver_sho" localSheetId="5" hidden="1">2</definedName>
    <definedName name="solver_sho" localSheetId="6" hidden="1">2</definedName>
    <definedName name="solver_ssz" localSheetId="0" hidden="1">100</definedName>
    <definedName name="solver_ssz" localSheetId="9" hidden="1">100</definedName>
    <definedName name="solver_ssz" localSheetId="3" hidden="1">100</definedName>
    <definedName name="solver_ssz" localSheetId="5" hidden="1">100</definedName>
    <definedName name="solver_ssz" localSheetId="6" hidden="1">100</definedName>
    <definedName name="solver_tim" localSheetId="0" hidden="1">2147483647</definedName>
    <definedName name="solver_tim" localSheetId="9" hidden="1">2147483647</definedName>
    <definedName name="solver_tim" localSheetId="3" hidden="1">2147483647</definedName>
    <definedName name="solver_tim" localSheetId="5" hidden="1">2147483647</definedName>
    <definedName name="solver_tim" localSheetId="6" hidden="1">2147483647</definedName>
    <definedName name="solver_tol" localSheetId="0" hidden="1">0.01</definedName>
    <definedName name="solver_tol" localSheetId="9" hidden="1">0.01</definedName>
    <definedName name="solver_tol" localSheetId="3" hidden="1">0.01</definedName>
    <definedName name="solver_tol" localSheetId="5" hidden="1">0.01</definedName>
    <definedName name="solver_tol" localSheetId="6" hidden="1">0.01</definedName>
    <definedName name="solver_typ" localSheetId="0" hidden="1">3</definedName>
    <definedName name="solver_typ" localSheetId="9" hidden="1">2</definedName>
    <definedName name="solver_typ" localSheetId="3" hidden="1">3</definedName>
    <definedName name="solver_typ" localSheetId="5" hidden="1">3</definedName>
    <definedName name="solver_typ" localSheetId="6" hidden="1">3</definedName>
    <definedName name="solver_val" localSheetId="0" hidden="1">0</definedName>
    <definedName name="solver_val" localSheetId="9" hidden="1">0</definedName>
    <definedName name="solver_val" localSheetId="3" hidden="1">0</definedName>
    <definedName name="solver_val" localSheetId="5" hidden="1">0</definedName>
    <definedName name="solver_val" localSheetId="6" hidden="1">0</definedName>
    <definedName name="solver_ver" localSheetId="0" hidden="1">3</definedName>
    <definedName name="solver_ver" localSheetId="9" hidden="1">3</definedName>
    <definedName name="solver_ver" localSheetId="3" hidden="1">3</definedName>
    <definedName name="solver_ver" localSheetId="5" hidden="1">3</definedName>
    <definedName name="solver_ver" localSheetId="6" hidden="1">3</definedName>
    <definedName name="_xlnm.Print_Area" localSheetId="8">exercice_9!$C$11:$H$17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8" i="25" l="1"/>
  <c r="AE11" i="23" l="1"/>
  <c r="AE13" i="23" s="1"/>
  <c r="AE14" i="23" s="1"/>
  <c r="AE15" i="23" s="1"/>
  <c r="AG10" i="23"/>
  <c r="AG11" i="23" s="1"/>
  <c r="AG13" i="23" s="1"/>
  <c r="AG14" i="23" s="1"/>
  <c r="AG15" i="23" s="1"/>
  <c r="AF10" i="23"/>
  <c r="AF11" i="23" s="1"/>
  <c r="AF13" i="23" s="1"/>
  <c r="AF14" i="23" s="1"/>
  <c r="AF15" i="23" s="1"/>
  <c r="AE10" i="23"/>
  <c r="Y91" i="11"/>
  <c r="Y93" i="11" s="1"/>
  <c r="Y92" i="11"/>
  <c r="Y8" i="11"/>
  <c r="W25" i="3" l="1"/>
  <c r="X25" i="3" s="1"/>
  <c r="W26" i="3"/>
  <c r="X26" i="3" s="1"/>
  <c r="W27" i="3"/>
  <c r="X27" i="3" s="1"/>
  <c r="W28" i="3"/>
  <c r="X28" i="3" s="1"/>
  <c r="W29" i="3"/>
  <c r="X29" i="3" s="1"/>
  <c r="W30" i="3"/>
  <c r="X30" i="3" s="1"/>
  <c r="W31" i="3"/>
  <c r="X31" i="3" s="1"/>
  <c r="W32" i="3"/>
  <c r="X32" i="3" s="1"/>
  <c r="W33" i="3"/>
  <c r="X33" i="3" s="1"/>
  <c r="W34" i="3"/>
  <c r="X34" i="3" s="1"/>
  <c r="W35" i="3"/>
  <c r="X35" i="3" s="1"/>
  <c r="W36" i="3"/>
  <c r="X36" i="3" s="1"/>
  <c r="W37" i="3"/>
  <c r="X37" i="3" s="1"/>
  <c r="W38" i="3"/>
  <c r="X38" i="3" s="1"/>
  <c r="W39" i="3"/>
  <c r="X39" i="3" s="1"/>
  <c r="W40" i="3"/>
  <c r="X40" i="3" s="1"/>
  <c r="W41" i="3"/>
  <c r="X41" i="3" s="1"/>
  <c r="W42" i="3"/>
  <c r="X42" i="3" s="1"/>
  <c r="W43" i="3"/>
  <c r="X43" i="3" s="1"/>
  <c r="W44" i="3"/>
  <c r="X44" i="3" s="1"/>
  <c r="W45" i="3"/>
  <c r="X45" i="3" s="1"/>
  <c r="W46" i="3"/>
  <c r="X46" i="3" s="1"/>
  <c r="W47" i="3"/>
  <c r="X47" i="3" s="1"/>
  <c r="W48" i="3"/>
  <c r="X48" i="3" s="1"/>
  <c r="W49" i="3"/>
  <c r="X49" i="3" s="1"/>
  <c r="W50" i="3"/>
  <c r="X50" i="3" s="1"/>
  <c r="W51" i="3"/>
  <c r="X51" i="3" s="1"/>
  <c r="W52" i="3"/>
  <c r="X52" i="3" s="1"/>
  <c r="W53" i="3"/>
  <c r="X53" i="3" s="1"/>
  <c r="W54" i="3"/>
  <c r="X54" i="3" s="1"/>
  <c r="W55" i="3"/>
  <c r="X55" i="3" s="1"/>
  <c r="W56" i="3"/>
  <c r="X56" i="3" s="1"/>
  <c r="W57" i="3"/>
  <c r="X57" i="3" s="1"/>
  <c r="W58" i="3"/>
  <c r="X58" i="3" s="1"/>
  <c r="W59" i="3"/>
  <c r="X59" i="3" s="1"/>
  <c r="W60" i="3"/>
  <c r="X60" i="3" s="1"/>
  <c r="W61" i="3"/>
  <c r="X61" i="3" s="1"/>
  <c r="W62" i="3"/>
  <c r="X62" i="3" s="1"/>
  <c r="W63" i="3"/>
  <c r="X63" i="3" s="1"/>
  <c r="W64" i="3"/>
  <c r="X64" i="3" s="1"/>
  <c r="W65" i="3"/>
  <c r="X65" i="3" s="1"/>
  <c r="W66" i="3"/>
  <c r="X66" i="3" s="1"/>
  <c r="W67" i="3"/>
  <c r="X67" i="3" s="1"/>
  <c r="W68" i="3"/>
  <c r="X68" i="3" s="1"/>
  <c r="W69" i="3"/>
  <c r="X69" i="3" s="1"/>
  <c r="W70" i="3"/>
  <c r="X70" i="3" s="1"/>
  <c r="W71" i="3"/>
  <c r="X71" i="3" s="1"/>
  <c r="W72" i="3"/>
  <c r="X72" i="3" s="1"/>
  <c r="W73" i="3"/>
  <c r="X73" i="3" s="1"/>
  <c r="W74" i="3"/>
  <c r="X74" i="3" s="1"/>
  <c r="W75" i="3"/>
  <c r="X75" i="3" s="1"/>
  <c r="W76" i="3"/>
  <c r="X76" i="3" s="1"/>
  <c r="W77" i="3"/>
  <c r="X77" i="3" s="1"/>
  <c r="W78" i="3"/>
  <c r="X78" i="3" s="1"/>
  <c r="W79" i="3"/>
  <c r="X79" i="3" s="1"/>
  <c r="W80" i="3"/>
  <c r="X80" i="3" s="1"/>
  <c r="W81" i="3"/>
  <c r="X81" i="3" s="1"/>
  <c r="W82" i="3"/>
  <c r="X82" i="3" s="1"/>
  <c r="W83" i="3"/>
  <c r="X83" i="3" s="1"/>
  <c r="W84" i="3"/>
  <c r="X84" i="3" s="1"/>
  <c r="V24" i="3"/>
  <c r="W24" i="3" s="1"/>
  <c r="X24" i="3" s="1"/>
  <c r="K24" i="3"/>
  <c r="K25" i="3"/>
  <c r="K26" i="3"/>
  <c r="K27" i="3"/>
  <c r="K28" i="3"/>
  <c r="K29" i="3"/>
  <c r="K30" i="3"/>
  <c r="K31" i="3"/>
  <c r="K32" i="3"/>
  <c r="K33" i="3"/>
  <c r="K34" i="3"/>
  <c r="K35" i="3"/>
  <c r="K36" i="3"/>
  <c r="H39" i="3" l="1"/>
  <c r="H40" i="3" s="1"/>
  <c r="N17" i="1"/>
  <c r="N18" i="1"/>
  <c r="N19" i="1"/>
  <c r="N20" i="1"/>
  <c r="N21" i="1"/>
  <c r="N22" i="1"/>
  <c r="N23" i="1"/>
  <c r="N24" i="1"/>
  <c r="N25" i="1"/>
  <c r="N26" i="1"/>
  <c r="N16" i="1"/>
  <c r="M17" i="1"/>
  <c r="M18" i="1"/>
  <c r="M19" i="1"/>
  <c r="M20" i="1"/>
  <c r="M21" i="1"/>
  <c r="M22" i="1"/>
  <c r="M23" i="1"/>
  <c r="M24" i="1"/>
  <c r="M25" i="1"/>
  <c r="M26" i="1"/>
  <c r="M16" i="1"/>
  <c r="Y24" i="3" l="1"/>
  <c r="Z24" i="3" s="1"/>
  <c r="Y25" i="3" s="1"/>
  <c r="Z25" i="3" s="1"/>
  <c r="Y26" i="3" s="1"/>
  <c r="Z26" i="3" s="1"/>
  <c r="Y27" i="3" s="1"/>
  <c r="G16" i="29"/>
  <c r="H16" i="29"/>
  <c r="G17" i="29"/>
  <c r="H17" i="29"/>
  <c r="G18" i="29"/>
  <c r="H18" i="29"/>
  <c r="G19" i="29"/>
  <c r="H19" i="29"/>
  <c r="G20" i="29"/>
  <c r="H20" i="29"/>
  <c r="G21" i="29"/>
  <c r="H21" i="29"/>
  <c r="G22" i="29"/>
  <c r="H22" i="29"/>
  <c r="G23" i="29"/>
  <c r="H23" i="29"/>
  <c r="G24" i="29"/>
  <c r="H24" i="29"/>
  <c r="G25" i="29"/>
  <c r="H25" i="29"/>
  <c r="G26" i="29"/>
  <c r="H26" i="29"/>
  <c r="H15" i="29"/>
  <c r="G15" i="29"/>
  <c r="I15" i="29" s="1"/>
  <c r="I38" i="29"/>
  <c r="I37" i="29"/>
  <c r="I16" i="29"/>
  <c r="I17" i="29"/>
  <c r="I18" i="29"/>
  <c r="I19" i="29"/>
  <c r="I20" i="29"/>
  <c r="I21" i="29"/>
  <c r="I22" i="29"/>
  <c r="I23" i="29"/>
  <c r="I24" i="29"/>
  <c r="I25" i="29"/>
  <c r="I26" i="29"/>
  <c r="D18" i="29"/>
  <c r="D19" i="29"/>
  <c r="D20" i="29"/>
  <c r="D21" i="29"/>
  <c r="D22" i="29"/>
  <c r="D23" i="29"/>
  <c r="D24" i="29"/>
  <c r="D25" i="29"/>
  <c r="D26" i="29"/>
  <c r="D27" i="29"/>
  <c r="D16" i="29"/>
  <c r="D29" i="29" s="1"/>
  <c r="D30" i="29" s="1"/>
  <c r="H39" i="29" s="1"/>
  <c r="I39" i="29" s="1"/>
  <c r="D17" i="29"/>
  <c r="Z27" i="3" l="1"/>
  <c r="Y28" i="3" s="1"/>
  <c r="I41" i="29"/>
  <c r="I42" i="29" s="1"/>
  <c r="I43" i="29" s="1"/>
  <c r="I44" i="29" s="1"/>
  <c r="I28" i="29"/>
  <c r="I29" i="29" s="1"/>
  <c r="I30" i="29" s="1"/>
  <c r="I31" i="29" s="1"/>
  <c r="Z28" i="3" l="1"/>
  <c r="Y29" i="3" s="1"/>
  <c r="V42" i="24"/>
  <c r="W42" i="24"/>
  <c r="X42" i="24"/>
  <c r="U42" i="24"/>
  <c r="V13" i="24"/>
  <c r="W13" i="24"/>
  <c r="X13" i="24"/>
  <c r="V14" i="24"/>
  <c r="W14" i="24"/>
  <c r="X14" i="24"/>
  <c r="V15" i="24"/>
  <c r="W15" i="24"/>
  <c r="X15" i="24"/>
  <c r="V16" i="24"/>
  <c r="W16" i="24"/>
  <c r="X16" i="24"/>
  <c r="V18" i="24"/>
  <c r="W18" i="24"/>
  <c r="X18" i="24"/>
  <c r="V19" i="24"/>
  <c r="W19" i="24"/>
  <c r="X19" i="24"/>
  <c r="V20" i="24"/>
  <c r="W20" i="24"/>
  <c r="X20" i="24"/>
  <c r="V21" i="24"/>
  <c r="W21" i="24"/>
  <c r="X21" i="24"/>
  <c r="V23" i="24"/>
  <c r="W23" i="24"/>
  <c r="X23" i="24"/>
  <c r="V24" i="24"/>
  <c r="W24" i="24"/>
  <c r="X24" i="24"/>
  <c r="V25" i="24"/>
  <c r="W25" i="24"/>
  <c r="X25" i="24"/>
  <c r="V26" i="24"/>
  <c r="W26" i="24"/>
  <c r="X26" i="24"/>
  <c r="V28" i="24"/>
  <c r="W28" i="24"/>
  <c r="X28" i="24"/>
  <c r="V29" i="24"/>
  <c r="W29" i="24"/>
  <c r="X29" i="24"/>
  <c r="V30" i="24"/>
  <c r="W30" i="24"/>
  <c r="X30" i="24"/>
  <c r="V31" i="24"/>
  <c r="W31" i="24"/>
  <c r="X31" i="24"/>
  <c r="V32" i="24"/>
  <c r="W32" i="24"/>
  <c r="X32" i="24"/>
  <c r="V33" i="24"/>
  <c r="W33" i="24"/>
  <c r="X33" i="24"/>
  <c r="V34" i="24"/>
  <c r="W34" i="24"/>
  <c r="X34" i="24"/>
  <c r="V35" i="24"/>
  <c r="W35" i="24"/>
  <c r="X35" i="24"/>
  <c r="V36" i="24"/>
  <c r="W36" i="24"/>
  <c r="X36" i="24"/>
  <c r="V37" i="24"/>
  <c r="W37" i="24"/>
  <c r="X37" i="24"/>
  <c r="V38" i="24"/>
  <c r="W38" i="24"/>
  <c r="X38" i="24"/>
  <c r="V39" i="24"/>
  <c r="W39" i="24"/>
  <c r="X39" i="24"/>
  <c r="V40" i="24"/>
  <c r="W40" i="24"/>
  <c r="X40" i="24"/>
  <c r="V41" i="24"/>
  <c r="W41" i="24"/>
  <c r="X41" i="24"/>
  <c r="U14" i="24"/>
  <c r="U15" i="24"/>
  <c r="U16" i="24"/>
  <c r="U18" i="24"/>
  <c r="U19" i="24"/>
  <c r="U20" i="24"/>
  <c r="U21" i="24"/>
  <c r="U23" i="24"/>
  <c r="U24" i="24"/>
  <c r="U25" i="24"/>
  <c r="U26" i="24"/>
  <c r="U28" i="24"/>
  <c r="U29" i="24"/>
  <c r="U30" i="24"/>
  <c r="U31" i="24"/>
  <c r="U32" i="24"/>
  <c r="U33" i="24"/>
  <c r="U34" i="24"/>
  <c r="U35" i="24"/>
  <c r="U36" i="24"/>
  <c r="U37" i="24"/>
  <c r="U38" i="24"/>
  <c r="U39" i="24"/>
  <c r="U40" i="24"/>
  <c r="U41" i="24"/>
  <c r="U13" i="24"/>
  <c r="V12" i="24"/>
  <c r="W12" i="24"/>
  <c r="X12" i="24"/>
  <c r="U12" i="24"/>
  <c r="Y44" i="24"/>
  <c r="F21" i="18"/>
  <c r="F29" i="18" s="1"/>
  <c r="Z29" i="3" l="1"/>
  <c r="Y30" i="3" s="1"/>
  <c r="L40" i="23"/>
  <c r="Z30" i="3" l="1"/>
  <c r="Y31" i="3" s="1"/>
  <c r="U28" i="17"/>
  <c r="Q132" i="9"/>
  <c r="Q133" i="9"/>
  <c r="Q134" i="9"/>
  <c r="Q135" i="9"/>
  <c r="Q136" i="9"/>
  <c r="Q137" i="9"/>
  <c r="Q138" i="9"/>
  <c r="Q139" i="9"/>
  <c r="Q140" i="9"/>
  <c r="Q141" i="9"/>
  <c r="Q142" i="9"/>
  <c r="Q143" i="9"/>
  <c r="Q144" i="9"/>
  <c r="Q145" i="9"/>
  <c r="Q146" i="9"/>
  <c r="Q147" i="9"/>
  <c r="Q148" i="9"/>
  <c r="Q149" i="9"/>
  <c r="Q150" i="9"/>
  <c r="Q151" i="9"/>
  <c r="Q152" i="9"/>
  <c r="Q153" i="9"/>
  <c r="Q154" i="9"/>
  <c r="Q155" i="9"/>
  <c r="Q156" i="9"/>
  <c r="Q157" i="9"/>
  <c r="Q158" i="9"/>
  <c r="Q159" i="9"/>
  <c r="Q160" i="9"/>
  <c r="Q161" i="9"/>
  <c r="Q162" i="9"/>
  <c r="Q163" i="9"/>
  <c r="Q164" i="9"/>
  <c r="Q165" i="9"/>
  <c r="Q166" i="9"/>
  <c r="Q167" i="9"/>
  <c r="Q168" i="9"/>
  <c r="Q169" i="9"/>
  <c r="Q170" i="9"/>
  <c r="Q171" i="9"/>
  <c r="Q172" i="9"/>
  <c r="Q173" i="9"/>
  <c r="Q174" i="9"/>
  <c r="Q175" i="9"/>
  <c r="Q176" i="9"/>
  <c r="Q177" i="9"/>
  <c r="Q178" i="9"/>
  <c r="Q179" i="9"/>
  <c r="Q180" i="9"/>
  <c r="Q181" i="9"/>
  <c r="Q131" i="9"/>
  <c r="P79" i="9"/>
  <c r="P80" i="9"/>
  <c r="P81" i="9"/>
  <c r="P82" i="9"/>
  <c r="P83" i="9"/>
  <c r="P84" i="9"/>
  <c r="P85" i="9"/>
  <c r="P86" i="9"/>
  <c r="P87" i="9"/>
  <c r="P88" i="9"/>
  <c r="P89" i="9"/>
  <c r="P90" i="9"/>
  <c r="P91" i="9"/>
  <c r="P92" i="9"/>
  <c r="P93" i="9"/>
  <c r="P94" i="9"/>
  <c r="P95" i="9"/>
  <c r="P96" i="9"/>
  <c r="P97" i="9"/>
  <c r="P98" i="9"/>
  <c r="P99" i="9"/>
  <c r="P100" i="9"/>
  <c r="P101" i="9"/>
  <c r="P102" i="9"/>
  <c r="P103" i="9"/>
  <c r="P104" i="9"/>
  <c r="P105" i="9"/>
  <c r="P106" i="9"/>
  <c r="P107" i="9"/>
  <c r="P108" i="9"/>
  <c r="P109" i="9"/>
  <c r="P110" i="9"/>
  <c r="P111" i="9"/>
  <c r="P112" i="9"/>
  <c r="P113" i="9"/>
  <c r="P114" i="9"/>
  <c r="P115" i="9"/>
  <c r="P116" i="9"/>
  <c r="P117" i="9"/>
  <c r="P118" i="9"/>
  <c r="P119" i="9"/>
  <c r="P120" i="9"/>
  <c r="P121" i="9"/>
  <c r="P122" i="9"/>
  <c r="P78" i="9"/>
  <c r="P38" i="9"/>
  <c r="P39" i="9"/>
  <c r="P40" i="9"/>
  <c r="P41" i="9"/>
  <c r="P42" i="9"/>
  <c r="P43" i="9"/>
  <c r="P44" i="9"/>
  <c r="P45" i="9"/>
  <c r="P46" i="9"/>
  <c r="P47" i="9"/>
  <c r="P48" i="9"/>
  <c r="P49" i="9"/>
  <c r="P50" i="9"/>
  <c r="P51" i="9"/>
  <c r="P52" i="9"/>
  <c r="P53" i="9"/>
  <c r="P54" i="9"/>
  <c r="P55" i="9"/>
  <c r="P56" i="9"/>
  <c r="P57" i="9"/>
  <c r="P58" i="9"/>
  <c r="P59" i="9"/>
  <c r="P60" i="9"/>
  <c r="P61" i="9"/>
  <c r="P62" i="9"/>
  <c r="P63" i="9"/>
  <c r="P64" i="9"/>
  <c r="P65" i="9"/>
  <c r="P66" i="9"/>
  <c r="P67" i="9"/>
  <c r="P68" i="9"/>
  <c r="P69" i="9"/>
  <c r="P70" i="9"/>
  <c r="P71" i="9"/>
  <c r="P37" i="9"/>
  <c r="P8" i="9"/>
  <c r="P9" i="9"/>
  <c r="P10" i="9"/>
  <c r="P11" i="9"/>
  <c r="P12" i="9"/>
  <c r="P13" i="9"/>
  <c r="P14" i="9"/>
  <c r="P15" i="9"/>
  <c r="P16" i="9"/>
  <c r="P17" i="9"/>
  <c r="P18" i="9"/>
  <c r="P19" i="9"/>
  <c r="P20" i="9"/>
  <c r="P21" i="9"/>
  <c r="P22" i="9"/>
  <c r="P23" i="9"/>
  <c r="P24" i="9"/>
  <c r="P25" i="9"/>
  <c r="P26" i="9"/>
  <c r="P27" i="9"/>
  <c r="P28" i="9"/>
  <c r="P29" i="9"/>
  <c r="P30" i="9"/>
  <c r="P31" i="9"/>
  <c r="P7" i="9"/>
  <c r="N122" i="9"/>
  <c r="M122" i="9"/>
  <c r="N102" i="9"/>
  <c r="M102" i="9"/>
  <c r="N71" i="9"/>
  <c r="M71" i="9"/>
  <c r="Z31" i="3" l="1"/>
  <c r="Y32" i="3" s="1"/>
  <c r="N35" i="1"/>
  <c r="N36" i="1"/>
  <c r="N37" i="1"/>
  <c r="N38" i="1"/>
  <c r="N39" i="1"/>
  <c r="N40" i="1"/>
  <c r="N41" i="1"/>
  <c r="N42" i="1"/>
  <c r="N43" i="1"/>
  <c r="N44" i="1"/>
  <c r="N45" i="1"/>
  <c r="N34" i="1"/>
  <c r="I36" i="1"/>
  <c r="I37" i="1"/>
  <c r="I38" i="1"/>
  <c r="I39" i="1"/>
  <c r="I40" i="1"/>
  <c r="I41" i="1"/>
  <c r="I42" i="1"/>
  <c r="I43" i="1"/>
  <c r="I44" i="1"/>
  <c r="I45" i="1"/>
  <c r="I35" i="1"/>
  <c r="Z32" i="3" l="1"/>
  <c r="Y33" i="3" s="1"/>
  <c r="N46" i="1"/>
  <c r="I18" i="17"/>
  <c r="Z33" i="3" l="1"/>
  <c r="Y34" i="3" s="1"/>
  <c r="E36" i="30"/>
  <c r="J34" i="30"/>
  <c r="O33" i="30"/>
  <c r="Z34" i="3" l="1"/>
  <c r="Y35" i="3" s="1"/>
  <c r="H41" i="30"/>
  <c r="H42" i="30"/>
  <c r="H43" i="30"/>
  <c r="H44" i="30"/>
  <c r="H45" i="30"/>
  <c r="H46" i="30"/>
  <c r="H47" i="30"/>
  <c r="H48" i="30"/>
  <c r="H49" i="30"/>
  <c r="H40" i="30"/>
  <c r="C41" i="30"/>
  <c r="C42" i="30"/>
  <c r="C43" i="30"/>
  <c r="C44" i="30"/>
  <c r="C45" i="30"/>
  <c r="C46" i="30"/>
  <c r="C47" i="30"/>
  <c r="C48" i="30"/>
  <c r="C49" i="30"/>
  <c r="C50" i="30"/>
  <c r="C51" i="30"/>
  <c r="C40" i="30"/>
  <c r="M41" i="30"/>
  <c r="M42" i="30"/>
  <c r="M43" i="30"/>
  <c r="M44" i="30"/>
  <c r="M45" i="30"/>
  <c r="M46" i="30"/>
  <c r="M47" i="30"/>
  <c r="M48" i="30"/>
  <c r="M40" i="30"/>
  <c r="Z35" i="3" l="1"/>
  <c r="Y36" i="3" s="1"/>
  <c r="Z42" i="11"/>
  <c r="Z43" i="11"/>
  <c r="Z44" i="11"/>
  <c r="Z45" i="11"/>
  <c r="Z41" i="11"/>
  <c r="Z36" i="3" l="1"/>
  <c r="Y37" i="3" s="1"/>
  <c r="N41" i="30"/>
  <c r="N42" i="30"/>
  <c r="N43" i="30"/>
  <c r="N44" i="30"/>
  <c r="N45" i="30"/>
  <c r="N46" i="30"/>
  <c r="N47" i="30"/>
  <c r="N48" i="30"/>
  <c r="I41" i="30"/>
  <c r="I42" i="30"/>
  <c r="I43" i="30"/>
  <c r="I44" i="30"/>
  <c r="I45" i="30"/>
  <c r="I46" i="30"/>
  <c r="I47" i="30"/>
  <c r="I48" i="30"/>
  <c r="I49" i="30"/>
  <c r="N40" i="30"/>
  <c r="I40" i="30"/>
  <c r="D41" i="30"/>
  <c r="D42" i="30"/>
  <c r="D43" i="30"/>
  <c r="D44" i="30"/>
  <c r="D45" i="30"/>
  <c r="D46" i="30"/>
  <c r="D47" i="30"/>
  <c r="D48" i="30"/>
  <c r="D49" i="30"/>
  <c r="D50" i="30"/>
  <c r="D51" i="30"/>
  <c r="D40" i="30"/>
  <c r="Z37" i="3" l="1"/>
  <c r="Y38" i="3" s="1"/>
  <c r="N53" i="30"/>
  <c r="N54" i="30" s="1"/>
  <c r="E53" i="30"/>
  <c r="E54" i="30" s="1"/>
  <c r="I53" i="30"/>
  <c r="I54" i="30" s="1"/>
  <c r="D53" i="30"/>
  <c r="D54" i="30" s="1"/>
  <c r="J53" i="30"/>
  <c r="J54" i="30" s="1"/>
  <c r="O53" i="30"/>
  <c r="O54" i="30" s="1"/>
  <c r="Z38" i="3" l="1"/>
  <c r="Y39" i="3" s="1"/>
  <c r="D55" i="30"/>
  <c r="I55" i="30"/>
  <c r="N55" i="30"/>
  <c r="Z39" i="3" l="1"/>
  <c r="Y40" i="3" s="1"/>
  <c r="Z18" i="23"/>
  <c r="Z19" i="23"/>
  <c r="Z20" i="23"/>
  <c r="Z17" i="23"/>
  <c r="Z40" i="23"/>
  <c r="Z39" i="23"/>
  <c r="Z38" i="23"/>
  <c r="Z37" i="23"/>
  <c r="Z30" i="23"/>
  <c r="Z29" i="23"/>
  <c r="Z28" i="23"/>
  <c r="Z27" i="23"/>
  <c r="Z8" i="23"/>
  <c r="Z9" i="23"/>
  <c r="Z10" i="23"/>
  <c r="Z7" i="23"/>
  <c r="Y40" i="23"/>
  <c r="X40" i="23"/>
  <c r="Y39" i="23"/>
  <c r="U39" i="23"/>
  <c r="T39" i="23"/>
  <c r="Y38" i="23"/>
  <c r="U38" i="23"/>
  <c r="T38" i="23"/>
  <c r="Y37" i="23"/>
  <c r="U37" i="23"/>
  <c r="T37" i="23"/>
  <c r="Y30" i="23"/>
  <c r="X30" i="23"/>
  <c r="Y29" i="23"/>
  <c r="U29" i="23"/>
  <c r="T29" i="23"/>
  <c r="Y28" i="23"/>
  <c r="U28" i="23"/>
  <c r="X28" i="23" s="1"/>
  <c r="Y27" i="23"/>
  <c r="U27" i="23"/>
  <c r="T27" i="23"/>
  <c r="Y20" i="23"/>
  <c r="X20" i="23"/>
  <c r="Y19" i="23"/>
  <c r="U19" i="23"/>
  <c r="X19" i="23" s="1"/>
  <c r="Y18" i="23"/>
  <c r="U18" i="23"/>
  <c r="T18" i="23"/>
  <c r="Y17" i="23"/>
  <c r="U17" i="23"/>
  <c r="T17" i="23"/>
  <c r="Y10" i="23"/>
  <c r="U10" i="23"/>
  <c r="X10" i="23" s="1"/>
  <c r="Y9" i="23"/>
  <c r="U9" i="23"/>
  <c r="X9" i="23" s="1"/>
  <c r="Y8" i="23"/>
  <c r="U8" i="23"/>
  <c r="X8" i="23" s="1"/>
  <c r="Y7" i="23"/>
  <c r="U7" i="23"/>
  <c r="T7" i="23"/>
  <c r="X27" i="23" l="1"/>
  <c r="X39" i="23"/>
  <c r="Z40" i="3"/>
  <c r="Y41" i="3" s="1"/>
  <c r="X38" i="23"/>
  <c r="X18" i="23"/>
  <c r="X17" i="23"/>
  <c r="Z21" i="23" s="1"/>
  <c r="X37" i="23"/>
  <c r="X7" i="23"/>
  <c r="Y11" i="23" s="1"/>
  <c r="X29" i="23"/>
  <c r="Z31" i="23" s="1"/>
  <c r="Y31" i="23"/>
  <c r="K39" i="23"/>
  <c r="K38" i="23"/>
  <c r="P40" i="23"/>
  <c r="O40" i="23"/>
  <c r="P39" i="23"/>
  <c r="L39" i="23"/>
  <c r="P38" i="23"/>
  <c r="L38" i="23"/>
  <c r="P37" i="23"/>
  <c r="L37" i="23"/>
  <c r="K37" i="23"/>
  <c r="L30" i="23"/>
  <c r="O30" i="23" s="1"/>
  <c r="L20" i="23"/>
  <c r="O20" i="23" s="1"/>
  <c r="K29" i="23"/>
  <c r="P30" i="23"/>
  <c r="P29" i="23"/>
  <c r="L29" i="23"/>
  <c r="P28" i="23"/>
  <c r="L28" i="23"/>
  <c r="O28" i="23" s="1"/>
  <c r="P27" i="23"/>
  <c r="L27" i="23"/>
  <c r="K27" i="23"/>
  <c r="K18" i="23"/>
  <c r="K17" i="23"/>
  <c r="P20" i="23"/>
  <c r="P19" i="23"/>
  <c r="L19" i="23"/>
  <c r="O19" i="23" s="1"/>
  <c r="P18" i="23"/>
  <c r="L18" i="23"/>
  <c r="P17" i="23"/>
  <c r="L17" i="23"/>
  <c r="O17" i="23" s="1"/>
  <c r="P8" i="23"/>
  <c r="P9" i="23"/>
  <c r="P10" i="23"/>
  <c r="P7" i="23"/>
  <c r="L8" i="23"/>
  <c r="O8" i="23" s="1"/>
  <c r="L9" i="23"/>
  <c r="O9" i="23" s="1"/>
  <c r="L10" i="23"/>
  <c r="O10" i="23" s="1"/>
  <c r="L7" i="23"/>
  <c r="K7" i="23"/>
  <c r="S13" i="17"/>
  <c r="T14" i="17"/>
  <c r="T15" i="17"/>
  <c r="T16" i="17"/>
  <c r="T17" i="17"/>
  <c r="T18" i="17"/>
  <c r="T19" i="17"/>
  <c r="T20" i="17"/>
  <c r="T21" i="17"/>
  <c r="T22" i="17"/>
  <c r="T23" i="17"/>
  <c r="T24" i="17"/>
  <c r="T25" i="17"/>
  <c r="T26" i="17"/>
  <c r="T27" i="17"/>
  <c r="T28" i="17"/>
  <c r="T29" i="17"/>
  <c r="T30" i="17"/>
  <c r="T31" i="17"/>
  <c r="T32" i="17"/>
  <c r="T33" i="17"/>
  <c r="T34" i="17"/>
  <c r="T35" i="17"/>
  <c r="T36" i="17"/>
  <c r="T37" i="17"/>
  <c r="T38" i="17"/>
  <c r="T39" i="17"/>
  <c r="T40" i="17"/>
  <c r="T41" i="17"/>
  <c r="T42" i="17"/>
  <c r="T43" i="17"/>
  <c r="T44" i="17"/>
  <c r="T45" i="17"/>
  <c r="T46" i="17"/>
  <c r="T47" i="17"/>
  <c r="T48" i="17"/>
  <c r="T49" i="17"/>
  <c r="T50" i="17"/>
  <c r="T51" i="17"/>
  <c r="T52" i="17"/>
  <c r="T53" i="17"/>
  <c r="T54" i="17"/>
  <c r="T55" i="17"/>
  <c r="T56" i="17"/>
  <c r="T57" i="17"/>
  <c r="T58" i="17"/>
  <c r="T59" i="17"/>
  <c r="T60" i="17"/>
  <c r="T61" i="17"/>
  <c r="T62" i="17"/>
  <c r="T63" i="17"/>
  <c r="T13" i="17"/>
  <c r="S14" i="17"/>
  <c r="S15" i="17"/>
  <c r="S16" i="17"/>
  <c r="S17" i="17"/>
  <c r="S18" i="17"/>
  <c r="S19" i="17"/>
  <c r="S20" i="17"/>
  <c r="S21" i="17"/>
  <c r="S22" i="17"/>
  <c r="S23" i="17"/>
  <c r="S24" i="17"/>
  <c r="S25" i="17"/>
  <c r="S26" i="17"/>
  <c r="S27" i="17"/>
  <c r="S28" i="17"/>
  <c r="S29" i="17"/>
  <c r="S30" i="17"/>
  <c r="S31" i="17"/>
  <c r="S32" i="17"/>
  <c r="S33" i="17"/>
  <c r="S34" i="17"/>
  <c r="S35" i="17"/>
  <c r="S36" i="17"/>
  <c r="S37" i="17"/>
  <c r="S38" i="17"/>
  <c r="S39" i="17"/>
  <c r="S40" i="17"/>
  <c r="S41" i="17"/>
  <c r="S42" i="17"/>
  <c r="S43" i="17"/>
  <c r="S44" i="17"/>
  <c r="S45" i="17"/>
  <c r="S46" i="17"/>
  <c r="S47" i="17"/>
  <c r="S48" i="17"/>
  <c r="S49" i="17"/>
  <c r="S50" i="17"/>
  <c r="S51" i="17"/>
  <c r="S52" i="17"/>
  <c r="S53" i="17"/>
  <c r="S54" i="17"/>
  <c r="S55" i="17"/>
  <c r="S56" i="17"/>
  <c r="S57" i="17"/>
  <c r="S58" i="17"/>
  <c r="S59" i="17"/>
  <c r="S60" i="17"/>
  <c r="S61" i="17"/>
  <c r="S62" i="17"/>
  <c r="S63" i="17"/>
  <c r="R14" i="17"/>
  <c r="R15" i="17"/>
  <c r="R16" i="17"/>
  <c r="R17" i="17"/>
  <c r="R18" i="17"/>
  <c r="R19" i="17"/>
  <c r="R20" i="17"/>
  <c r="R21" i="17"/>
  <c r="R22" i="17"/>
  <c r="R23" i="17"/>
  <c r="R24" i="17"/>
  <c r="R25" i="17"/>
  <c r="R26" i="17"/>
  <c r="R27" i="17"/>
  <c r="R28" i="17"/>
  <c r="R29" i="17"/>
  <c r="R30" i="17"/>
  <c r="R31" i="17"/>
  <c r="R32" i="17"/>
  <c r="R33" i="17"/>
  <c r="R34" i="17"/>
  <c r="R35" i="17"/>
  <c r="R36" i="17"/>
  <c r="R37" i="17"/>
  <c r="R38" i="17"/>
  <c r="R39" i="17"/>
  <c r="R40" i="17"/>
  <c r="R41" i="17"/>
  <c r="R42" i="17"/>
  <c r="R43" i="17"/>
  <c r="R44" i="17"/>
  <c r="R45" i="17"/>
  <c r="R46" i="17"/>
  <c r="R47" i="17"/>
  <c r="R48" i="17"/>
  <c r="R49" i="17"/>
  <c r="R50" i="17"/>
  <c r="R51" i="17"/>
  <c r="R52" i="17"/>
  <c r="R53" i="17"/>
  <c r="R54" i="17"/>
  <c r="R55" i="17"/>
  <c r="R56" i="17"/>
  <c r="R57" i="17"/>
  <c r="R58" i="17"/>
  <c r="R59" i="17"/>
  <c r="R60" i="17"/>
  <c r="R61" i="17"/>
  <c r="R62" i="17"/>
  <c r="R63" i="17"/>
  <c r="R13" i="17"/>
  <c r="N14" i="17"/>
  <c r="N15" i="17"/>
  <c r="N16" i="17"/>
  <c r="N17" i="17"/>
  <c r="N18" i="17"/>
  <c r="N19" i="17"/>
  <c r="N20" i="17"/>
  <c r="N21" i="17"/>
  <c r="N22" i="17"/>
  <c r="N23" i="17"/>
  <c r="N24" i="17"/>
  <c r="N25" i="17"/>
  <c r="N26" i="17"/>
  <c r="N27" i="17"/>
  <c r="N28" i="17"/>
  <c r="N29" i="17"/>
  <c r="N30" i="17"/>
  <c r="N31" i="17"/>
  <c r="N32" i="17"/>
  <c r="N34" i="17"/>
  <c r="N35" i="17"/>
  <c r="N36" i="17"/>
  <c r="N37" i="17"/>
  <c r="N39" i="17"/>
  <c r="N40" i="17"/>
  <c r="N41" i="17"/>
  <c r="N42" i="17"/>
  <c r="N44" i="17"/>
  <c r="N45" i="17"/>
  <c r="N46" i="17"/>
  <c r="N47" i="17"/>
  <c r="N49" i="17"/>
  <c r="N50" i="17"/>
  <c r="N51" i="17"/>
  <c r="N52" i="17"/>
  <c r="N54" i="17"/>
  <c r="N55" i="17"/>
  <c r="N56" i="17"/>
  <c r="N57" i="17"/>
  <c r="N59" i="17"/>
  <c r="N60" i="17"/>
  <c r="N61" i="17"/>
  <c r="N62" i="17"/>
  <c r="N13" i="17"/>
  <c r="Q13" i="17" s="1"/>
  <c r="F27" i="17"/>
  <c r="G27" i="17" s="1"/>
  <c r="F28" i="17"/>
  <c r="F29" i="17"/>
  <c r="G29" i="17" s="1"/>
  <c r="F30" i="17"/>
  <c r="G30" i="17" s="1"/>
  <c r="F31" i="17"/>
  <c r="G31" i="17" s="1"/>
  <c r="F32" i="17"/>
  <c r="F26" i="17"/>
  <c r="G26" i="17" s="1"/>
  <c r="Y41" i="23" l="1"/>
  <c r="O27" i="23"/>
  <c r="O29" i="23"/>
  <c r="Z11" i="23"/>
  <c r="AB37" i="23" s="1"/>
  <c r="O38" i="23"/>
  <c r="Y21" i="23"/>
  <c r="Z41" i="3"/>
  <c r="Y42" i="3" s="1"/>
  <c r="Z41" i="23"/>
  <c r="P31" i="23"/>
  <c r="AA37" i="23"/>
  <c r="AA27" i="23"/>
  <c r="AA17" i="23"/>
  <c r="O37" i="23"/>
  <c r="AB27" i="23"/>
  <c r="O39" i="23"/>
  <c r="P41" i="23"/>
  <c r="O18" i="23"/>
  <c r="P21" i="23" s="1"/>
  <c r="O7" i="23"/>
  <c r="P11" i="23" s="1"/>
  <c r="P13" i="17"/>
  <c r="G32" i="17"/>
  <c r="G28" i="17"/>
  <c r="Q21" i="23" l="1"/>
  <c r="AB17" i="23"/>
  <c r="Q41" i="23"/>
  <c r="Z42" i="3"/>
  <c r="Y43" i="3" s="1"/>
  <c r="Q31" i="23"/>
  <c r="I19" i="17"/>
  <c r="K148" i="9"/>
  <c r="K132" i="9"/>
  <c r="M25" i="3"/>
  <c r="Z43" i="3" l="1"/>
  <c r="Y44" i="3" s="1"/>
  <c r="H30" i="17"/>
  <c r="N53" i="17" s="1"/>
  <c r="H27" i="17"/>
  <c r="N38" i="17" s="1"/>
  <c r="H29" i="17"/>
  <c r="N48" i="17" s="1"/>
  <c r="H31" i="17"/>
  <c r="N58" i="17" s="1"/>
  <c r="H26" i="17"/>
  <c r="N33" i="17" s="1"/>
  <c r="H32" i="17"/>
  <c r="N63" i="17" s="1"/>
  <c r="H28" i="17"/>
  <c r="N43" i="17" s="1"/>
  <c r="O16" i="1"/>
  <c r="Z44" i="3" l="1"/>
  <c r="Y45" i="3" s="1"/>
  <c r="D7" i="7"/>
  <c r="D8" i="7"/>
  <c r="D9" i="7"/>
  <c r="D10" i="7"/>
  <c r="D11" i="7"/>
  <c r="D12" i="7"/>
  <c r="D13" i="7"/>
  <c r="D6" i="7"/>
  <c r="F20" i="26"/>
  <c r="G20" i="26" s="1"/>
  <c r="F21" i="26"/>
  <c r="G21" i="26" s="1"/>
  <c r="F22" i="26"/>
  <c r="G22" i="26" s="1"/>
  <c r="F23" i="26"/>
  <c r="G23" i="26" s="1"/>
  <c r="F19" i="26"/>
  <c r="G19" i="26" s="1"/>
  <c r="C36" i="25"/>
  <c r="D21" i="25"/>
  <c r="D22" i="25"/>
  <c r="D23" i="25"/>
  <c r="D24" i="25"/>
  <c r="D25" i="25"/>
  <c r="D26" i="25"/>
  <c r="D27" i="25"/>
  <c r="D28" i="25"/>
  <c r="D29" i="25"/>
  <c r="D30" i="25"/>
  <c r="M42" i="24"/>
  <c r="N42" i="24"/>
  <c r="O42" i="24"/>
  <c r="L42" i="24"/>
  <c r="M12" i="24"/>
  <c r="N12" i="24"/>
  <c r="O12" i="24"/>
  <c r="M17" i="24"/>
  <c r="V17" i="24" s="1"/>
  <c r="N17" i="24"/>
  <c r="W17" i="24" s="1"/>
  <c r="O17" i="24"/>
  <c r="X17" i="24" s="1"/>
  <c r="M22" i="24"/>
  <c r="V22" i="24" s="1"/>
  <c r="N22" i="24"/>
  <c r="W22" i="24" s="1"/>
  <c r="O22" i="24"/>
  <c r="X22" i="24" s="1"/>
  <c r="M27" i="24"/>
  <c r="V27" i="24" s="1"/>
  <c r="N27" i="24"/>
  <c r="W27" i="24" s="1"/>
  <c r="O27" i="24"/>
  <c r="X27" i="24" s="1"/>
  <c r="L27" i="24"/>
  <c r="U27" i="24" s="1"/>
  <c r="L22" i="24"/>
  <c r="U22" i="24" s="1"/>
  <c r="L17" i="24"/>
  <c r="U17" i="24" s="1"/>
  <c r="L12" i="24"/>
  <c r="P131" i="9"/>
  <c r="N181" i="9"/>
  <c r="P181" i="9" s="1"/>
  <c r="N161" i="9"/>
  <c r="P163" i="9"/>
  <c r="P164" i="9"/>
  <c r="P165" i="9"/>
  <c r="P166" i="9"/>
  <c r="P167" i="9"/>
  <c r="P168" i="9"/>
  <c r="P169" i="9"/>
  <c r="P170" i="9"/>
  <c r="P171" i="9"/>
  <c r="P172" i="9"/>
  <c r="P173" i="9"/>
  <c r="P174" i="9"/>
  <c r="P175" i="9"/>
  <c r="P176" i="9"/>
  <c r="P177" i="9"/>
  <c r="P178" i="9"/>
  <c r="P179" i="9"/>
  <c r="P180" i="9"/>
  <c r="K141" i="9"/>
  <c r="N148" i="9"/>
  <c r="P148" i="9" s="1"/>
  <c r="N160" i="9"/>
  <c r="P160" i="9" s="1"/>
  <c r="P159" i="9"/>
  <c r="P157" i="9"/>
  <c r="P155" i="9"/>
  <c r="P154" i="9"/>
  <c r="P153" i="9"/>
  <c r="P152" i="9"/>
  <c r="P151" i="9"/>
  <c r="P150" i="9"/>
  <c r="P149" i="9"/>
  <c r="P147" i="9"/>
  <c r="P146" i="9"/>
  <c r="P145" i="9"/>
  <c r="P144" i="9"/>
  <c r="P143" i="9"/>
  <c r="P142" i="9"/>
  <c r="P141" i="9"/>
  <c r="P140" i="9"/>
  <c r="P139" i="9"/>
  <c r="P138" i="9"/>
  <c r="P137" i="9"/>
  <c r="P136" i="9"/>
  <c r="P135" i="9"/>
  <c r="P134" i="9"/>
  <c r="P133" i="9"/>
  <c r="P132" i="9"/>
  <c r="N110" i="9"/>
  <c r="N111" i="9"/>
  <c r="N112" i="9"/>
  <c r="N113" i="9"/>
  <c r="N114" i="9"/>
  <c r="N115" i="9"/>
  <c r="N116" i="9"/>
  <c r="N117" i="9"/>
  <c r="N118" i="9"/>
  <c r="N119" i="9"/>
  <c r="N120" i="9"/>
  <c r="N121" i="9"/>
  <c r="M112" i="9"/>
  <c r="M113" i="9"/>
  <c r="M114" i="9"/>
  <c r="M115" i="9"/>
  <c r="M116" i="9"/>
  <c r="M117" i="9"/>
  <c r="M118" i="9"/>
  <c r="M119" i="9"/>
  <c r="M120" i="9"/>
  <c r="M121" i="9"/>
  <c r="M111" i="9"/>
  <c r="M110" i="9"/>
  <c r="N109" i="9"/>
  <c r="M109" i="9"/>
  <c r="N108" i="9"/>
  <c r="M108" i="9"/>
  <c r="N107" i="9"/>
  <c r="M107" i="9"/>
  <c r="N106" i="9"/>
  <c r="M106" i="9"/>
  <c r="N105" i="9"/>
  <c r="M105" i="9"/>
  <c r="N104" i="9"/>
  <c r="M104" i="9"/>
  <c r="N103" i="9"/>
  <c r="M103" i="9"/>
  <c r="O101" i="9"/>
  <c r="O100" i="9"/>
  <c r="O99" i="9"/>
  <c r="O98" i="9"/>
  <c r="O97" i="9"/>
  <c r="O96" i="9"/>
  <c r="O95" i="9"/>
  <c r="O94" i="9"/>
  <c r="O93" i="9"/>
  <c r="O92" i="9"/>
  <c r="O91" i="9"/>
  <c r="O90" i="9"/>
  <c r="O89" i="9"/>
  <c r="O88" i="9"/>
  <c r="O87" i="9"/>
  <c r="O86" i="9"/>
  <c r="O85" i="9"/>
  <c r="O84" i="9"/>
  <c r="O83" i="9"/>
  <c r="O82" i="9"/>
  <c r="O81" i="9"/>
  <c r="O80" i="9"/>
  <c r="O79" i="9"/>
  <c r="O78" i="9"/>
  <c r="O71" i="9"/>
  <c r="M69" i="9"/>
  <c r="N69" i="9"/>
  <c r="M70" i="9"/>
  <c r="N70" i="9"/>
  <c r="O60" i="9"/>
  <c r="O59" i="9"/>
  <c r="O58" i="9"/>
  <c r="O57" i="9"/>
  <c r="O56" i="9"/>
  <c r="O55" i="9"/>
  <c r="O54" i="9"/>
  <c r="O53" i="9"/>
  <c r="O52" i="9"/>
  <c r="O51" i="9"/>
  <c r="O50" i="9"/>
  <c r="O49" i="9"/>
  <c r="O48" i="9"/>
  <c r="O47" i="9"/>
  <c r="O46" i="9"/>
  <c r="O45" i="9"/>
  <c r="O44" i="9"/>
  <c r="O43" i="9"/>
  <c r="O42" i="9"/>
  <c r="O41" i="9"/>
  <c r="O40" i="9"/>
  <c r="O39" i="9"/>
  <c r="O38" i="9"/>
  <c r="O37" i="9"/>
  <c r="O8" i="9"/>
  <c r="O9" i="9"/>
  <c r="O10" i="9"/>
  <c r="O11" i="9"/>
  <c r="O12" i="9"/>
  <c r="O13" i="9"/>
  <c r="O14" i="9"/>
  <c r="O15" i="9"/>
  <c r="O16" i="9"/>
  <c r="O17" i="9"/>
  <c r="O18" i="9"/>
  <c r="O19" i="9"/>
  <c r="O20" i="9"/>
  <c r="O21" i="9"/>
  <c r="O22" i="9"/>
  <c r="O23" i="9"/>
  <c r="O24" i="9"/>
  <c r="O25" i="9"/>
  <c r="O26" i="9"/>
  <c r="O27" i="9"/>
  <c r="O28" i="9"/>
  <c r="O29" i="9"/>
  <c r="O30" i="9"/>
  <c r="O7" i="9"/>
  <c r="N31" i="9"/>
  <c r="M31" i="9"/>
  <c r="D36" i="25" l="1"/>
  <c r="Z45" i="3"/>
  <c r="Y46" i="3" s="1"/>
  <c r="V43" i="24"/>
  <c r="V44" i="24" s="1"/>
  <c r="U43" i="24"/>
  <c r="U44" i="24" s="1"/>
  <c r="O44" i="24"/>
  <c r="X43" i="24"/>
  <c r="X44" i="24" s="1"/>
  <c r="N44" i="24"/>
  <c r="Q9" i="24" s="1"/>
  <c r="Q12" i="24" s="1"/>
  <c r="W43" i="24"/>
  <c r="W44" i="24" s="1"/>
  <c r="M44" i="24"/>
  <c r="R17" i="24"/>
  <c r="L44" i="24"/>
  <c r="P27" i="24"/>
  <c r="R22" i="24"/>
  <c r="Q17" i="24"/>
  <c r="G25" i="26"/>
  <c r="G28" i="26" s="1"/>
  <c r="G31" i="26" s="1"/>
  <c r="O121" i="9"/>
  <c r="O117" i="9"/>
  <c r="O113" i="9"/>
  <c r="O102" i="9"/>
  <c r="O119" i="9"/>
  <c r="O109" i="9"/>
  <c r="O120" i="9"/>
  <c r="O116" i="9"/>
  <c r="O112" i="9"/>
  <c r="M14" i="17"/>
  <c r="P14" i="17" s="1"/>
  <c r="D32" i="25"/>
  <c r="O103" i="9"/>
  <c r="O105" i="9"/>
  <c r="O107" i="9"/>
  <c r="O111" i="9"/>
  <c r="O118" i="9"/>
  <c r="O104" i="9"/>
  <c r="O108" i="9"/>
  <c r="O114" i="9"/>
  <c r="O110" i="9"/>
  <c r="O31" i="9"/>
  <c r="P33" i="9" s="1"/>
  <c r="P34" i="9" s="1"/>
  <c r="E52" i="9" s="1"/>
  <c r="O122" i="9"/>
  <c r="O115" i="9"/>
  <c r="O106" i="9"/>
  <c r="P161" i="9"/>
  <c r="P156" i="9"/>
  <c r="P158" i="9"/>
  <c r="O67" i="9"/>
  <c r="O65" i="9"/>
  <c r="O69" i="9"/>
  <c r="O63" i="9"/>
  <c r="O61" i="9"/>
  <c r="O70" i="9"/>
  <c r="O68" i="9"/>
  <c r="O66" i="9"/>
  <c r="O64" i="9"/>
  <c r="O62" i="9"/>
  <c r="Z46" i="3" l="1"/>
  <c r="Y47" i="3" s="1"/>
  <c r="S17" i="24"/>
  <c r="P72" i="9"/>
  <c r="P73" i="9" s="1"/>
  <c r="P17" i="24"/>
  <c r="R27" i="24"/>
  <c r="P42" i="24"/>
  <c r="Q13" i="24"/>
  <c r="R14" i="24"/>
  <c r="S15" i="24"/>
  <c r="R18" i="24"/>
  <c r="S19" i="24"/>
  <c r="Q21" i="24"/>
  <c r="S23" i="24"/>
  <c r="Q25" i="24"/>
  <c r="R26" i="24"/>
  <c r="Q29" i="24"/>
  <c r="R30" i="24"/>
  <c r="S31" i="24"/>
  <c r="Q33" i="24"/>
  <c r="R34" i="24"/>
  <c r="S35" i="24"/>
  <c r="Q37" i="24"/>
  <c r="R38" i="24"/>
  <c r="S39" i="24"/>
  <c r="Q41" i="24"/>
  <c r="P15" i="24"/>
  <c r="P19" i="24"/>
  <c r="P23" i="24"/>
  <c r="P31" i="24"/>
  <c r="P35" i="24"/>
  <c r="P39" i="24"/>
  <c r="R13" i="24"/>
  <c r="S14" i="24"/>
  <c r="S43" i="24" s="1"/>
  <c r="Q16" i="24"/>
  <c r="S18" i="24"/>
  <c r="Q20" i="24"/>
  <c r="R21" i="24"/>
  <c r="Q24" i="24"/>
  <c r="R25" i="24"/>
  <c r="S26" i="24"/>
  <c r="Q28" i="24"/>
  <c r="R29" i="24"/>
  <c r="S30" i="24"/>
  <c r="Q32" i="24"/>
  <c r="R33" i="24"/>
  <c r="S34" i="24"/>
  <c r="Q36" i="24"/>
  <c r="R37" i="24"/>
  <c r="S38" i="24"/>
  <c r="Q40" i="24"/>
  <c r="R41" i="24"/>
  <c r="P16" i="24"/>
  <c r="P20" i="24"/>
  <c r="P24" i="24"/>
  <c r="P28" i="24"/>
  <c r="P32" i="24"/>
  <c r="P36" i="24"/>
  <c r="P40" i="24"/>
  <c r="S13" i="24"/>
  <c r="Q15" i="24"/>
  <c r="R16" i="24"/>
  <c r="Q19" i="24"/>
  <c r="R20" i="24"/>
  <c r="S21" i="24"/>
  <c r="Q23" i="24"/>
  <c r="R24" i="24"/>
  <c r="S25" i="24"/>
  <c r="R28" i="24"/>
  <c r="S29" i="24"/>
  <c r="Q31" i="24"/>
  <c r="R32" i="24"/>
  <c r="S33" i="24"/>
  <c r="Q35" i="24"/>
  <c r="R36" i="24"/>
  <c r="S37" i="24"/>
  <c r="Q39" i="24"/>
  <c r="R40" i="24"/>
  <c r="S41" i="24"/>
  <c r="P13" i="24"/>
  <c r="P21" i="24"/>
  <c r="P25" i="24"/>
  <c r="P29" i="24"/>
  <c r="P33" i="24"/>
  <c r="P37" i="24"/>
  <c r="P41" i="24"/>
  <c r="Q14" i="24"/>
  <c r="R15" i="24"/>
  <c r="S16" i="24"/>
  <c r="Q18" i="24"/>
  <c r="R19" i="24"/>
  <c r="S20" i="24"/>
  <c r="R23" i="24"/>
  <c r="S24" i="24"/>
  <c r="Q26" i="24"/>
  <c r="S28" i="24"/>
  <c r="Q30" i="24"/>
  <c r="R31" i="24"/>
  <c r="S32" i="24"/>
  <c r="Q34" i="24"/>
  <c r="R35" i="24"/>
  <c r="S36" i="24"/>
  <c r="Q38" i="24"/>
  <c r="R39" i="24"/>
  <c r="S40" i="24"/>
  <c r="P14" i="24"/>
  <c r="P18" i="24"/>
  <c r="P26" i="24"/>
  <c r="P30" i="24"/>
  <c r="P34" i="24"/>
  <c r="P38" i="24"/>
  <c r="P22" i="24"/>
  <c r="P12" i="24"/>
  <c r="R42" i="24"/>
  <c r="Q42" i="24"/>
  <c r="R12" i="24"/>
  <c r="Q182" i="9"/>
  <c r="Q183" i="9" s="1"/>
  <c r="E55" i="9" s="1"/>
  <c r="P123" i="9"/>
  <c r="P124" i="9" s="1"/>
  <c r="S27" i="24"/>
  <c r="S22" i="24"/>
  <c r="Q27" i="24"/>
  <c r="Q22" i="24"/>
  <c r="S12" i="24"/>
  <c r="S42" i="24"/>
  <c r="Q14" i="17"/>
  <c r="M15" i="17"/>
  <c r="Z47" i="3" l="1"/>
  <c r="Y48" i="3" s="1"/>
  <c r="Q43" i="24"/>
  <c r="P43" i="24"/>
  <c r="R43" i="24"/>
  <c r="E54" i="9"/>
  <c r="P15" i="17"/>
  <c r="Q15" i="17"/>
  <c r="M16" i="17"/>
  <c r="E53" i="9"/>
  <c r="Z48" i="3" l="1"/>
  <c r="Y49" i="3" s="1"/>
  <c r="P16" i="17"/>
  <c r="Q16" i="17"/>
  <c r="M17" i="17"/>
  <c r="O120" i="11"/>
  <c r="O107" i="11"/>
  <c r="M109" i="11"/>
  <c r="M110" i="11"/>
  <c r="M111" i="11"/>
  <c r="M112" i="11"/>
  <c r="M108" i="11"/>
  <c r="O96" i="11"/>
  <c r="M90" i="11"/>
  <c r="M91" i="11"/>
  <c r="M92" i="11"/>
  <c r="M93" i="11"/>
  <c r="M89" i="11"/>
  <c r="M65" i="11"/>
  <c r="N65" i="11" s="1"/>
  <c r="M66" i="11"/>
  <c r="N66" i="11" s="1"/>
  <c r="M67" i="11"/>
  <c r="N67" i="11" s="1"/>
  <c r="M68" i="11"/>
  <c r="N68" i="11" s="1"/>
  <c r="M64" i="11"/>
  <c r="N64" i="11" s="1"/>
  <c r="O42" i="11"/>
  <c r="O65" i="11" s="1"/>
  <c r="O43" i="11"/>
  <c r="P43" i="11" s="1"/>
  <c r="O44" i="11"/>
  <c r="O45" i="11"/>
  <c r="P45" i="11" s="1"/>
  <c r="O41" i="11"/>
  <c r="M57" i="11"/>
  <c r="M47" i="11"/>
  <c r="M48" i="11"/>
  <c r="M49" i="11"/>
  <c r="M50" i="11"/>
  <c r="M51" i="11"/>
  <c r="M52" i="11"/>
  <c r="M53" i="11"/>
  <c r="M54" i="11"/>
  <c r="M55" i="11"/>
  <c r="M56" i="11"/>
  <c r="M46" i="11"/>
  <c r="Y25" i="11"/>
  <c r="AF36" i="11"/>
  <c r="AE36" i="11"/>
  <c r="AD36" i="11"/>
  <c r="AC36" i="11"/>
  <c r="AB36" i="11"/>
  <c r="AA36" i="11"/>
  <c r="Z36" i="11"/>
  <c r="Y36" i="11"/>
  <c r="AF35" i="11"/>
  <c r="AE35" i="11"/>
  <c r="AD35" i="11"/>
  <c r="AC35" i="11"/>
  <c r="AB35" i="11"/>
  <c r="AA35" i="11"/>
  <c r="Z35" i="11"/>
  <c r="Y35" i="11"/>
  <c r="AF34" i="11"/>
  <c r="AE34" i="11"/>
  <c r="AD34" i="11"/>
  <c r="AC34" i="11"/>
  <c r="AB34" i="11"/>
  <c r="AA34" i="11"/>
  <c r="Z34" i="11"/>
  <c r="Y34" i="11"/>
  <c r="AF33" i="11"/>
  <c r="AE33" i="11"/>
  <c r="AD33" i="11"/>
  <c r="AC33" i="11"/>
  <c r="AB33" i="11"/>
  <c r="AA33" i="11"/>
  <c r="Z33" i="11"/>
  <c r="Y33" i="11"/>
  <c r="AF32" i="11"/>
  <c r="AE32" i="11"/>
  <c r="AD32" i="11"/>
  <c r="AC32" i="11"/>
  <c r="AB32" i="11"/>
  <c r="AA32" i="11"/>
  <c r="Z32" i="11"/>
  <c r="Y32" i="11"/>
  <c r="AF31" i="11"/>
  <c r="AE31" i="11"/>
  <c r="AD31" i="11"/>
  <c r="AC31" i="11"/>
  <c r="AB31" i="11"/>
  <c r="AA31" i="11"/>
  <c r="Z31" i="11"/>
  <c r="Y31" i="11"/>
  <c r="AF30" i="11"/>
  <c r="AE30" i="11"/>
  <c r="AD30" i="11"/>
  <c r="AC30" i="11"/>
  <c r="AB30" i="11"/>
  <c r="AA30" i="11"/>
  <c r="Z30" i="11"/>
  <c r="Y30" i="11"/>
  <c r="AF29" i="11"/>
  <c r="AE29" i="11"/>
  <c r="AD29" i="11"/>
  <c r="AC29" i="11"/>
  <c r="AB29" i="11"/>
  <c r="AA29" i="11"/>
  <c r="Z29" i="11"/>
  <c r="Y29" i="11"/>
  <c r="AF28" i="11"/>
  <c r="AE28" i="11"/>
  <c r="AD28" i="11"/>
  <c r="AC28" i="11"/>
  <c r="AB28" i="11"/>
  <c r="AA28" i="11"/>
  <c r="Z28" i="11"/>
  <c r="Y28" i="11"/>
  <c r="AF27" i="11"/>
  <c r="AE27" i="11"/>
  <c r="AD27" i="11"/>
  <c r="AC27" i="11"/>
  <c r="AB27" i="11"/>
  <c r="AA27" i="11"/>
  <c r="Z27" i="11"/>
  <c r="Y27" i="11"/>
  <c r="AF26" i="11"/>
  <c r="AE26" i="11"/>
  <c r="AD26" i="11"/>
  <c r="AC26" i="11"/>
  <c r="AB26" i="11"/>
  <c r="AA26" i="11"/>
  <c r="Z26" i="11"/>
  <c r="Y26" i="11"/>
  <c r="AF25" i="11"/>
  <c r="AE25" i="11"/>
  <c r="AD25" i="11"/>
  <c r="AC25" i="11"/>
  <c r="AB25" i="11"/>
  <c r="AA25" i="11"/>
  <c r="Z25" i="11"/>
  <c r="Z8" i="11"/>
  <c r="AA8" i="11"/>
  <c r="AB8" i="11"/>
  <c r="AC8" i="11"/>
  <c r="AD8" i="11"/>
  <c r="AE8" i="11"/>
  <c r="AF8" i="11"/>
  <c r="Z9" i="11"/>
  <c r="AA9" i="11"/>
  <c r="AB9" i="11"/>
  <c r="AC9" i="11"/>
  <c r="AD9" i="11"/>
  <c r="AE9" i="11"/>
  <c r="AF9" i="11"/>
  <c r="Z10" i="11"/>
  <c r="AA10" i="11"/>
  <c r="AB10" i="11"/>
  <c r="AC10" i="11"/>
  <c r="AD10" i="11"/>
  <c r="AE10" i="11"/>
  <c r="AF10" i="11"/>
  <c r="Z11" i="11"/>
  <c r="AA11" i="11"/>
  <c r="AB11" i="11"/>
  <c r="AC11" i="11"/>
  <c r="AD11" i="11"/>
  <c r="AE11" i="11"/>
  <c r="AF11" i="11"/>
  <c r="Z12" i="11"/>
  <c r="AA12" i="11"/>
  <c r="AB12" i="11"/>
  <c r="AC12" i="11"/>
  <c r="AD12" i="11"/>
  <c r="AE12" i="11"/>
  <c r="AF12" i="11"/>
  <c r="Z13" i="11"/>
  <c r="AA13" i="11"/>
  <c r="AB13" i="11"/>
  <c r="AC13" i="11"/>
  <c r="AD13" i="11"/>
  <c r="AE13" i="11"/>
  <c r="AF13" i="11"/>
  <c r="Z14" i="11"/>
  <c r="AA14" i="11"/>
  <c r="AB14" i="11"/>
  <c r="AC14" i="11"/>
  <c r="AD14" i="11"/>
  <c r="AE14" i="11"/>
  <c r="AF14" i="11"/>
  <c r="Z15" i="11"/>
  <c r="AA15" i="11"/>
  <c r="AB15" i="11"/>
  <c r="AC15" i="11"/>
  <c r="AD15" i="11"/>
  <c r="AE15" i="11"/>
  <c r="AF15" i="11"/>
  <c r="Z16" i="11"/>
  <c r="AA16" i="11"/>
  <c r="AB16" i="11"/>
  <c r="AC16" i="11"/>
  <c r="AD16" i="11"/>
  <c r="AE16" i="11"/>
  <c r="AF16" i="11"/>
  <c r="Z17" i="11"/>
  <c r="AA17" i="11"/>
  <c r="AB17" i="11"/>
  <c r="AC17" i="11"/>
  <c r="AD17" i="11"/>
  <c r="AE17" i="11"/>
  <c r="AF17" i="11"/>
  <c r="Z18" i="11"/>
  <c r="AA18" i="11"/>
  <c r="AB18" i="11"/>
  <c r="AC18" i="11"/>
  <c r="AD18" i="11"/>
  <c r="AE18" i="11"/>
  <c r="AF18" i="11"/>
  <c r="Z19" i="11"/>
  <c r="AA19" i="11"/>
  <c r="AB19" i="11"/>
  <c r="AC19" i="11"/>
  <c r="AD19" i="11"/>
  <c r="AE19" i="11"/>
  <c r="AF19" i="11"/>
  <c r="Y9" i="11"/>
  <c r="Y10" i="11"/>
  <c r="Y11" i="11"/>
  <c r="Y12" i="11"/>
  <c r="Y13" i="11"/>
  <c r="Y14" i="11"/>
  <c r="Y15" i="11"/>
  <c r="Y16" i="11"/>
  <c r="Y17" i="11"/>
  <c r="Y18" i="11"/>
  <c r="Y19" i="11"/>
  <c r="Q15" i="2"/>
  <c r="S15" i="2" s="1"/>
  <c r="T15" i="2" s="1"/>
  <c r="P18" i="2"/>
  <c r="S18" i="2" s="1"/>
  <c r="P22" i="2"/>
  <c r="S22" i="2" s="1"/>
  <c r="P38" i="2"/>
  <c r="S38" i="2" s="1"/>
  <c r="P20" i="2"/>
  <c r="S20" i="2" s="1"/>
  <c r="P39" i="2"/>
  <c r="S39" i="2" s="1"/>
  <c r="P19" i="2"/>
  <c r="S19" i="2" s="1"/>
  <c r="P35" i="2"/>
  <c r="S35" i="2" s="1"/>
  <c r="P21" i="2"/>
  <c r="S21" i="2" s="1"/>
  <c r="P17" i="2"/>
  <c r="S17" i="2" s="1"/>
  <c r="P23" i="2"/>
  <c r="S23" i="2" s="1"/>
  <c r="P25" i="2"/>
  <c r="S25" i="2" s="1"/>
  <c r="P29" i="2"/>
  <c r="S29" i="2" s="1"/>
  <c r="P41" i="2"/>
  <c r="S41" i="2" s="1"/>
  <c r="P27" i="2"/>
  <c r="S27" i="2" s="1"/>
  <c r="P42" i="2"/>
  <c r="S42" i="2" s="1"/>
  <c r="P26" i="2"/>
  <c r="S26" i="2" s="1"/>
  <c r="P40" i="2"/>
  <c r="S40" i="2" s="1"/>
  <c r="P28" i="2"/>
  <c r="S28" i="2" s="1"/>
  <c r="P24" i="2"/>
  <c r="S24" i="2" s="1"/>
  <c r="P30" i="2"/>
  <c r="S30" i="2" s="1"/>
  <c r="P32" i="2"/>
  <c r="S32" i="2" s="1"/>
  <c r="P37" i="2"/>
  <c r="S37" i="2" s="1"/>
  <c r="P44" i="2"/>
  <c r="S44" i="2" s="1"/>
  <c r="P34" i="2"/>
  <c r="S34" i="2" s="1"/>
  <c r="P45" i="2"/>
  <c r="S45" i="2" s="1"/>
  <c r="P33" i="2"/>
  <c r="S33" i="2" s="1"/>
  <c r="P43" i="2"/>
  <c r="S43" i="2" s="1"/>
  <c r="P36" i="2"/>
  <c r="S36" i="2" s="1"/>
  <c r="P31" i="2"/>
  <c r="S31" i="2" s="1"/>
  <c r="P16" i="2"/>
  <c r="S16" i="2" s="1"/>
  <c r="M97" i="3"/>
  <c r="M86" i="3"/>
  <c r="M80" i="3"/>
  <c r="M74" i="3"/>
  <c r="M68" i="3"/>
  <c r="M62" i="3"/>
  <c r="M56" i="3"/>
  <c r="M51" i="3"/>
  <c r="M49" i="3"/>
  <c r="M47" i="3"/>
  <c r="M29" i="3"/>
  <c r="M27" i="3"/>
  <c r="H31" i="3"/>
  <c r="H32" i="3"/>
  <c r="H33" i="3"/>
  <c r="H34" i="3"/>
  <c r="H35" i="3"/>
  <c r="H36" i="3"/>
  <c r="H30" i="3"/>
  <c r="G25" i="3"/>
  <c r="G26" i="3"/>
  <c r="G27" i="3"/>
  <c r="G28" i="3"/>
  <c r="G29" i="3"/>
  <c r="G24" i="3"/>
  <c r="H38" i="3" l="1"/>
  <c r="Z49" i="3"/>
  <c r="Y50" i="3" s="1"/>
  <c r="T16" i="2"/>
  <c r="T17" i="2" s="1"/>
  <c r="T18" i="2" s="1"/>
  <c r="T19" i="2" s="1"/>
  <c r="T20" i="2" s="1"/>
  <c r="T21" i="2" s="1"/>
  <c r="T22" i="2" s="1"/>
  <c r="T23" i="2" s="1"/>
  <c r="T24" i="2" s="1"/>
  <c r="T25" i="2" s="1"/>
  <c r="T26" i="2" s="1"/>
  <c r="T27" i="2" s="1"/>
  <c r="T28" i="2" s="1"/>
  <c r="T29" i="2" s="1"/>
  <c r="T30" i="2" s="1"/>
  <c r="T31" i="2" s="1"/>
  <c r="T32" i="2" s="1"/>
  <c r="T33" i="2" s="1"/>
  <c r="T34" i="2" s="1"/>
  <c r="T35" i="2" s="1"/>
  <c r="T36" i="2" s="1"/>
  <c r="T37" i="2" s="1"/>
  <c r="T38" i="2" s="1"/>
  <c r="T39" i="2" s="1"/>
  <c r="T40" i="2" s="1"/>
  <c r="T41" i="2" s="1"/>
  <c r="T42" i="2" s="1"/>
  <c r="T43" i="2" s="1"/>
  <c r="T44" i="2" s="1"/>
  <c r="T45" i="2" s="1"/>
  <c r="R15" i="2"/>
  <c r="U15" i="2" s="1"/>
  <c r="P96" i="11"/>
  <c r="O25" i="11"/>
  <c r="N25" i="11" s="1"/>
  <c r="Y46" i="11" s="1"/>
  <c r="O29" i="11"/>
  <c r="N29" i="11" s="1"/>
  <c r="U50" i="11" s="1"/>
  <c r="M24" i="3"/>
  <c r="N24" i="3" s="1"/>
  <c r="N25" i="3" s="1"/>
  <c r="N26" i="3" s="1"/>
  <c r="P17" i="17"/>
  <c r="Q17" i="17"/>
  <c r="M79" i="11"/>
  <c r="P79" i="11" s="1"/>
  <c r="Z56" i="11"/>
  <c r="M101" i="11"/>
  <c r="Z52" i="11"/>
  <c r="M97" i="11"/>
  <c r="Z48" i="11"/>
  <c r="M78" i="11"/>
  <c r="R78" i="11" s="1"/>
  <c r="Z55" i="11"/>
  <c r="M74" i="11"/>
  <c r="U74" i="11" s="1"/>
  <c r="Z51" i="11"/>
  <c r="M70" i="11"/>
  <c r="Y70" i="11" s="1"/>
  <c r="Z47" i="11"/>
  <c r="M69" i="11"/>
  <c r="Z46" i="11"/>
  <c r="M76" i="11"/>
  <c r="W76" i="11" s="1"/>
  <c r="Z53" i="11"/>
  <c r="M72" i="11"/>
  <c r="Y72" i="11" s="1"/>
  <c r="Z49" i="11"/>
  <c r="M77" i="11"/>
  <c r="S77" i="11" s="1"/>
  <c r="Z54" i="11"/>
  <c r="M73" i="11"/>
  <c r="V73" i="11" s="1"/>
  <c r="Z50" i="11"/>
  <c r="M80" i="11"/>
  <c r="T80" i="11" s="1"/>
  <c r="Z57" i="11"/>
  <c r="M18" i="17"/>
  <c r="O64" i="11"/>
  <c r="M100" i="11"/>
  <c r="M119" i="11"/>
  <c r="M71" i="11"/>
  <c r="Y71" i="11" s="1"/>
  <c r="M95" i="11"/>
  <c r="M115" i="11"/>
  <c r="M99" i="11"/>
  <c r="M94" i="11"/>
  <c r="M118" i="11"/>
  <c r="M114" i="11"/>
  <c r="M98" i="11"/>
  <c r="M117" i="11"/>
  <c r="M113" i="11"/>
  <c r="M75" i="11"/>
  <c r="W75" i="11" s="1"/>
  <c r="M116" i="11"/>
  <c r="T76" i="11"/>
  <c r="P41" i="11"/>
  <c r="O18" i="11"/>
  <c r="N18" i="11" s="1"/>
  <c r="N56" i="11" s="1"/>
  <c r="N79" i="11" s="1"/>
  <c r="O14" i="11"/>
  <c r="N14" i="11" s="1"/>
  <c r="N52" i="11" s="1"/>
  <c r="O10" i="11"/>
  <c r="N10" i="11" s="1"/>
  <c r="N48" i="11" s="1"/>
  <c r="O27" i="11"/>
  <c r="N27" i="11" s="1"/>
  <c r="W48" i="11" s="1"/>
  <c r="O31" i="11"/>
  <c r="N31" i="11" s="1"/>
  <c r="S52" i="11" s="1"/>
  <c r="O35" i="11"/>
  <c r="N35" i="11" s="1"/>
  <c r="O56" i="11" s="1"/>
  <c r="O67" i="11"/>
  <c r="O68" i="11"/>
  <c r="O26" i="11"/>
  <c r="N26" i="11" s="1"/>
  <c r="X47" i="11" s="1"/>
  <c r="O28" i="11"/>
  <c r="N28" i="11" s="1"/>
  <c r="V49" i="11" s="1"/>
  <c r="O30" i="11"/>
  <c r="N30" i="11" s="1"/>
  <c r="T51" i="11" s="1"/>
  <c r="O32" i="11"/>
  <c r="N32" i="11" s="1"/>
  <c r="R53" i="11" s="1"/>
  <c r="O33" i="11"/>
  <c r="N33" i="11" s="1"/>
  <c r="Q54" i="11" s="1"/>
  <c r="O34" i="11"/>
  <c r="N34" i="11" s="1"/>
  <c r="P55" i="11" s="1"/>
  <c r="O36" i="11"/>
  <c r="N36" i="11" s="1"/>
  <c r="Y69" i="11"/>
  <c r="W79" i="11"/>
  <c r="Q43" i="11"/>
  <c r="P66" i="11"/>
  <c r="Q45" i="11"/>
  <c r="P68" i="11"/>
  <c r="P42" i="11"/>
  <c r="U78" i="11"/>
  <c r="X74" i="11"/>
  <c r="O17" i="11"/>
  <c r="N17" i="11" s="1"/>
  <c r="N55" i="11" s="1"/>
  <c r="O13" i="11"/>
  <c r="N13" i="11" s="1"/>
  <c r="N51" i="11" s="1"/>
  <c r="N74" i="11" s="1"/>
  <c r="O9" i="11"/>
  <c r="N9" i="11" s="1"/>
  <c r="N47" i="11" s="1"/>
  <c r="R79" i="11"/>
  <c r="T78" i="11"/>
  <c r="V76" i="11"/>
  <c r="W74" i="11"/>
  <c r="P44" i="11"/>
  <c r="Y79" i="11"/>
  <c r="Q79" i="11"/>
  <c r="V74" i="11"/>
  <c r="O66" i="11"/>
  <c r="O8" i="11"/>
  <c r="N8" i="11" s="1"/>
  <c r="O16" i="11"/>
  <c r="N16" i="11" s="1"/>
  <c r="N54" i="11" s="1"/>
  <c r="O12" i="11"/>
  <c r="N12" i="11" s="1"/>
  <c r="N50" i="11" s="1"/>
  <c r="O19" i="11"/>
  <c r="N19" i="11" s="1"/>
  <c r="N57" i="11" s="1"/>
  <c r="O15" i="11"/>
  <c r="N15" i="11" s="1"/>
  <c r="N53" i="11" s="1"/>
  <c r="O11" i="11"/>
  <c r="N11" i="11" s="1"/>
  <c r="N49" i="11" s="1"/>
  <c r="X79" i="11"/>
  <c r="Y74" i="11"/>
  <c r="O52" i="11"/>
  <c r="O17" i="1"/>
  <c r="O18" i="1"/>
  <c r="O19" i="1"/>
  <c r="O20" i="1"/>
  <c r="O21" i="1"/>
  <c r="O22" i="1"/>
  <c r="O23" i="1"/>
  <c r="O24" i="1"/>
  <c r="O25" i="1"/>
  <c r="O26" i="1"/>
  <c r="L27" i="1"/>
  <c r="K17" i="1"/>
  <c r="K18" i="1"/>
  <c r="K19" i="1"/>
  <c r="K20" i="1"/>
  <c r="K21" i="1"/>
  <c r="K22" i="1"/>
  <c r="K23" i="1"/>
  <c r="K24" i="1"/>
  <c r="K25" i="1"/>
  <c r="K26" i="1"/>
  <c r="K27" i="1"/>
  <c r="K16" i="1"/>
  <c r="J17" i="1"/>
  <c r="J18" i="1"/>
  <c r="J19" i="1"/>
  <c r="J20" i="1"/>
  <c r="J21" i="1"/>
  <c r="J22" i="1"/>
  <c r="J23" i="1"/>
  <c r="J24" i="1"/>
  <c r="J25" i="1"/>
  <c r="J26" i="1"/>
  <c r="J27" i="1"/>
  <c r="J16" i="1"/>
  <c r="Z50" i="3" l="1"/>
  <c r="Y51" i="3" s="1"/>
  <c r="O27" i="1"/>
  <c r="N27" i="1"/>
  <c r="M27" i="1"/>
  <c r="S76" i="11"/>
  <c r="P78" i="11"/>
  <c r="Y76" i="11"/>
  <c r="V78" i="11"/>
  <c r="Y78" i="11"/>
  <c r="S78" i="11"/>
  <c r="S80" i="11"/>
  <c r="H41" i="3"/>
  <c r="H42" i="3" s="1"/>
  <c r="M29" i="1"/>
  <c r="N29" i="1"/>
  <c r="J29" i="1"/>
  <c r="Q80" i="11"/>
  <c r="U16" i="2"/>
  <c r="U17" i="2" s="1"/>
  <c r="U18" i="2" s="1"/>
  <c r="U19" i="2" s="1"/>
  <c r="U20" i="2" s="1"/>
  <c r="U21" i="2" s="1"/>
  <c r="U22" i="2" s="1"/>
  <c r="U23" i="2" s="1"/>
  <c r="U24" i="2" s="1"/>
  <c r="U25" i="2" s="1"/>
  <c r="U26" i="2" s="1"/>
  <c r="U27" i="2" s="1"/>
  <c r="U28" i="2" s="1"/>
  <c r="U29" i="2" s="1"/>
  <c r="U30" i="2" s="1"/>
  <c r="U31" i="2" s="1"/>
  <c r="U32" i="2" s="1"/>
  <c r="U33" i="2" s="1"/>
  <c r="U34" i="2" s="1"/>
  <c r="U35" i="2" s="1"/>
  <c r="U36" i="2" s="1"/>
  <c r="U37" i="2" s="1"/>
  <c r="U38" i="2" s="1"/>
  <c r="U39" i="2" s="1"/>
  <c r="U40" i="2" s="1"/>
  <c r="U41" i="2" s="1"/>
  <c r="U42" i="2" s="1"/>
  <c r="U43" i="2" s="1"/>
  <c r="U44" i="2" s="1"/>
  <c r="U45" i="2" s="1"/>
  <c r="K29" i="1"/>
  <c r="P18" i="17"/>
  <c r="Q18" i="17"/>
  <c r="X76" i="11"/>
  <c r="Y80" i="11"/>
  <c r="N73" i="11"/>
  <c r="X77" i="11"/>
  <c r="U79" i="11"/>
  <c r="X73" i="11"/>
  <c r="Y77" i="11"/>
  <c r="V79" i="11"/>
  <c r="N78" i="11"/>
  <c r="Y73" i="11"/>
  <c r="Q77" i="11"/>
  <c r="X70" i="11"/>
  <c r="O79" i="11"/>
  <c r="N75" i="11"/>
  <c r="W72" i="11"/>
  <c r="O75" i="11"/>
  <c r="T79" i="11"/>
  <c r="N76" i="11"/>
  <c r="X75" i="11"/>
  <c r="W78" i="11"/>
  <c r="R80" i="11"/>
  <c r="U75" i="11"/>
  <c r="X78" i="11"/>
  <c r="N70" i="11"/>
  <c r="Q78" i="11"/>
  <c r="S79" i="11"/>
  <c r="T74" i="11"/>
  <c r="U73" i="11"/>
  <c r="W71" i="11"/>
  <c r="N72" i="11"/>
  <c r="N77" i="11"/>
  <c r="W73" i="11"/>
  <c r="U76" i="11"/>
  <c r="X72" i="11"/>
  <c r="Y75" i="11"/>
  <c r="O80" i="11"/>
  <c r="R77" i="11"/>
  <c r="V75" i="11"/>
  <c r="R76" i="11"/>
  <c r="N46" i="11"/>
  <c r="X80" i="11"/>
  <c r="P80" i="11"/>
  <c r="O55" i="11"/>
  <c r="O78" i="11" s="1"/>
  <c r="W77" i="11"/>
  <c r="U80" i="11"/>
  <c r="N80" i="11"/>
  <c r="T75" i="11"/>
  <c r="T77" i="11"/>
  <c r="V80" i="11"/>
  <c r="U77" i="11"/>
  <c r="W80" i="11"/>
  <c r="X71" i="11"/>
  <c r="V77" i="11"/>
  <c r="V72" i="11"/>
  <c r="M19" i="17"/>
  <c r="S75" i="11"/>
  <c r="N119" i="11"/>
  <c r="O119" i="11" s="1"/>
  <c r="N101" i="11"/>
  <c r="O101" i="11" s="1"/>
  <c r="O49" i="11"/>
  <c r="O72" i="11" s="1"/>
  <c r="O54" i="11"/>
  <c r="O77" i="11" s="1"/>
  <c r="O51" i="11"/>
  <c r="O74" i="11" s="1"/>
  <c r="O50" i="11"/>
  <c r="P50" i="11" s="1"/>
  <c r="Q41" i="11"/>
  <c r="P64" i="11"/>
  <c r="O48" i="11"/>
  <c r="N71" i="11"/>
  <c r="R45" i="11"/>
  <c r="Q68" i="11"/>
  <c r="O47" i="11"/>
  <c r="O70" i="11" s="1"/>
  <c r="P52" i="11"/>
  <c r="Q52" i="11" s="1"/>
  <c r="Q42" i="11"/>
  <c r="P65" i="11"/>
  <c r="Q44" i="11"/>
  <c r="P67" i="11"/>
  <c r="O53" i="11"/>
  <c r="P53" i="11" s="1"/>
  <c r="R43" i="11"/>
  <c r="Q66" i="11"/>
  <c r="O73" i="11"/>
  <c r="O29" i="1"/>
  <c r="F17" i="24"/>
  <c r="G17" i="24"/>
  <c r="E17" i="24"/>
  <c r="S85" i="5"/>
  <c r="S84" i="5"/>
  <c r="Z51" i="3" l="1"/>
  <c r="Y52" i="3" s="1"/>
  <c r="N69" i="11"/>
  <c r="N58" i="11"/>
  <c r="P101" i="11"/>
  <c r="N82" i="11"/>
  <c r="N27" i="3"/>
  <c r="N28" i="3" s="1"/>
  <c r="N29" i="3" s="1"/>
  <c r="N30" i="3" s="1"/>
  <c r="N31" i="3" s="1"/>
  <c r="N32" i="3" s="1"/>
  <c r="N33" i="3" s="1"/>
  <c r="N34" i="3" s="1"/>
  <c r="N35" i="3" s="1"/>
  <c r="N36" i="3" s="1"/>
  <c r="N37" i="3" s="1"/>
  <c r="N38" i="3" s="1"/>
  <c r="N39" i="3" s="1"/>
  <c r="N40" i="3" s="1"/>
  <c r="N41" i="3" s="1"/>
  <c r="N42" i="3" s="1"/>
  <c r="N43" i="3" s="1"/>
  <c r="N44" i="3" s="1"/>
  <c r="N45" i="3" s="1"/>
  <c r="N46" i="3" s="1"/>
  <c r="N47" i="3" s="1"/>
  <c r="P19" i="17"/>
  <c r="Q19" i="17"/>
  <c r="P54" i="11"/>
  <c r="P77" i="11" s="1"/>
  <c r="N59" i="11"/>
  <c r="O46" i="11"/>
  <c r="M20" i="17"/>
  <c r="P49" i="11"/>
  <c r="P72" i="11" s="1"/>
  <c r="O76" i="11"/>
  <c r="P51" i="11"/>
  <c r="P75" i="11"/>
  <c r="O71" i="11"/>
  <c r="P48" i="11"/>
  <c r="R41" i="11"/>
  <c r="Q64" i="11"/>
  <c r="P47" i="11"/>
  <c r="Q47" i="11" s="1"/>
  <c r="Q70" i="11" s="1"/>
  <c r="R44" i="11"/>
  <c r="Q67" i="11"/>
  <c r="S43" i="11"/>
  <c r="R66" i="11"/>
  <c r="R42" i="11"/>
  <c r="Q65" i="11"/>
  <c r="S45" i="11"/>
  <c r="R68" i="11"/>
  <c r="Q53" i="11"/>
  <c r="Q76" i="11" s="1"/>
  <c r="P76" i="11"/>
  <c r="Q50" i="11"/>
  <c r="P73" i="11"/>
  <c r="R52" i="11"/>
  <c r="R75" i="11" s="1"/>
  <c r="Q75" i="11"/>
  <c r="H17" i="24"/>
  <c r="N48" i="3" l="1"/>
  <c r="N49" i="3" s="1"/>
  <c r="N50" i="3" s="1"/>
  <c r="N51" i="3" s="1"/>
  <c r="N52" i="3" s="1"/>
  <c r="N53" i="3" s="1"/>
  <c r="N54" i="3" s="1"/>
  <c r="N55" i="3" s="1"/>
  <c r="N56" i="3" s="1"/>
  <c r="N57" i="3" s="1"/>
  <c r="N58" i="3" s="1"/>
  <c r="N59" i="3" s="1"/>
  <c r="N60" i="3" s="1"/>
  <c r="N61" i="3" s="1"/>
  <c r="N62" i="3" s="1"/>
  <c r="N63" i="3" s="1"/>
  <c r="N64" i="3" s="1"/>
  <c r="N65" i="3" s="1"/>
  <c r="N66" i="3" s="1"/>
  <c r="N67" i="3" s="1"/>
  <c r="N68" i="3" s="1"/>
  <c r="N69" i="3" s="1"/>
  <c r="N70" i="3" s="1"/>
  <c r="N71" i="3" s="1"/>
  <c r="N72" i="3" s="1"/>
  <c r="N73" i="3" s="1"/>
  <c r="N74" i="3" s="1"/>
  <c r="N75" i="3" s="1"/>
  <c r="N76" i="3" s="1"/>
  <c r="N77" i="3" s="1"/>
  <c r="N78" i="3" s="1"/>
  <c r="N79" i="3" s="1"/>
  <c r="N80" i="3" s="1"/>
  <c r="N81" i="3" s="1"/>
  <c r="N82" i="3" s="1"/>
  <c r="N83" i="3" s="1"/>
  <c r="N84" i="3" s="1"/>
  <c r="N85" i="3" s="1"/>
  <c r="N86" i="3" s="1"/>
  <c r="N87" i="3" s="1"/>
  <c r="N88" i="3" s="1"/>
  <c r="N89" i="3" s="1"/>
  <c r="N90" i="3" s="1"/>
  <c r="N91" i="3" s="1"/>
  <c r="N92" i="3" s="1"/>
  <c r="N93" i="3" s="1"/>
  <c r="N94" i="3" s="1"/>
  <c r="N95" i="3" s="1"/>
  <c r="N96" i="3" s="1"/>
  <c r="N97" i="3" s="1"/>
  <c r="Z52" i="3"/>
  <c r="Y53" i="3" s="1"/>
  <c r="P20" i="17"/>
  <c r="Q20" i="17"/>
  <c r="S41" i="11"/>
  <c r="O58" i="11"/>
  <c r="O59" i="11" s="1"/>
  <c r="O69" i="11"/>
  <c r="O82" i="11" s="1"/>
  <c r="P46" i="11"/>
  <c r="M21" i="17"/>
  <c r="Q49" i="11"/>
  <c r="R49" i="11" s="1"/>
  <c r="R47" i="11"/>
  <c r="S47" i="11" s="1"/>
  <c r="N112" i="11"/>
  <c r="O112" i="11" s="1"/>
  <c r="N93" i="11"/>
  <c r="O93" i="11" s="1"/>
  <c r="N110" i="11"/>
  <c r="O110" i="11" s="1"/>
  <c r="N91" i="11"/>
  <c r="O91" i="11" s="1"/>
  <c r="P70" i="11"/>
  <c r="Q51" i="11"/>
  <c r="P74" i="11"/>
  <c r="R64" i="11"/>
  <c r="Q48" i="11"/>
  <c r="P71" i="11"/>
  <c r="T45" i="11"/>
  <c r="S68" i="11"/>
  <c r="T43" i="11"/>
  <c r="S66" i="11"/>
  <c r="S42" i="11"/>
  <c r="R65" i="11"/>
  <c r="S44" i="11"/>
  <c r="R67" i="11"/>
  <c r="Q72" i="11"/>
  <c r="R50" i="11"/>
  <c r="Q73" i="11"/>
  <c r="Z53" i="3" l="1"/>
  <c r="Y54" i="3" s="1"/>
  <c r="P93" i="11"/>
  <c r="P91" i="11"/>
  <c r="R70" i="11"/>
  <c r="P21" i="17"/>
  <c r="Q21" i="17"/>
  <c r="P58" i="11"/>
  <c r="P59" i="11" s="1"/>
  <c r="Q46" i="11"/>
  <c r="P69" i="11"/>
  <c r="P82" i="11" s="1"/>
  <c r="S64" i="11"/>
  <c r="M22" i="17"/>
  <c r="N108" i="11"/>
  <c r="O108" i="11" s="1"/>
  <c r="N89" i="11"/>
  <c r="O89" i="11" s="1"/>
  <c r="N111" i="11"/>
  <c r="O111" i="11" s="1"/>
  <c r="N92" i="11"/>
  <c r="O92" i="11" s="1"/>
  <c r="N90" i="11"/>
  <c r="O90" i="11" s="1"/>
  <c r="N109" i="11"/>
  <c r="O109" i="11" s="1"/>
  <c r="N114" i="11"/>
  <c r="O114" i="11" s="1"/>
  <c r="N95" i="11"/>
  <c r="O95" i="11" s="1"/>
  <c r="Q74" i="11"/>
  <c r="R51" i="11"/>
  <c r="R48" i="11"/>
  <c r="Q71" i="11"/>
  <c r="T41" i="11"/>
  <c r="T44" i="11"/>
  <c r="S67" i="11"/>
  <c r="U43" i="11"/>
  <c r="T66" i="11"/>
  <c r="T42" i="11"/>
  <c r="S65" i="11"/>
  <c r="U45" i="11"/>
  <c r="T68" i="11"/>
  <c r="T47" i="11"/>
  <c r="S70" i="11"/>
  <c r="S50" i="11"/>
  <c r="R73" i="11"/>
  <c r="S49" i="11"/>
  <c r="R72" i="11"/>
  <c r="Z54" i="3" l="1"/>
  <c r="Y55" i="3" s="1"/>
  <c r="P92" i="11"/>
  <c r="P89" i="11"/>
  <c r="P95" i="11"/>
  <c r="P90" i="11"/>
  <c r="P22" i="17"/>
  <c r="Q22" i="17"/>
  <c r="Q58" i="11"/>
  <c r="Q59" i="11" s="1"/>
  <c r="R46" i="11"/>
  <c r="Q69" i="11"/>
  <c r="M23" i="17"/>
  <c r="N116" i="11"/>
  <c r="O116" i="11" s="1"/>
  <c r="N98" i="11"/>
  <c r="O98" i="11" s="1"/>
  <c r="N99" i="11"/>
  <c r="O99" i="11" s="1"/>
  <c r="N117" i="11"/>
  <c r="O117" i="11" s="1"/>
  <c r="S51" i="11"/>
  <c r="R74" i="11"/>
  <c r="Q82" i="11"/>
  <c r="U41" i="11"/>
  <c r="T64" i="11"/>
  <c r="S48" i="11"/>
  <c r="R71" i="11"/>
  <c r="V45" i="11"/>
  <c r="U68" i="11"/>
  <c r="V43" i="11"/>
  <c r="U66" i="11"/>
  <c r="U42" i="11"/>
  <c r="T65" i="11"/>
  <c r="U44" i="11"/>
  <c r="T67" i="11"/>
  <c r="T49" i="11"/>
  <c r="S72" i="11"/>
  <c r="U47" i="11"/>
  <c r="T70" i="11"/>
  <c r="T50" i="11"/>
  <c r="T73" i="11" s="1"/>
  <c r="S73" i="11"/>
  <c r="Z55" i="3" l="1"/>
  <c r="Y56" i="3" s="1"/>
  <c r="P98" i="11"/>
  <c r="P99" i="11"/>
  <c r="P23" i="17"/>
  <c r="Q23" i="17"/>
  <c r="S46" i="11"/>
  <c r="R58" i="11"/>
  <c r="R59" i="11" s="1"/>
  <c r="R69" i="11"/>
  <c r="R82" i="11" s="1"/>
  <c r="M24" i="17"/>
  <c r="N115" i="11"/>
  <c r="O115" i="11" s="1"/>
  <c r="N97" i="11"/>
  <c r="O97" i="11" s="1"/>
  <c r="S74" i="11"/>
  <c r="N118" i="11"/>
  <c r="O118" i="11" s="1"/>
  <c r="N100" i="11"/>
  <c r="O100" i="11" s="1"/>
  <c r="V41" i="11"/>
  <c r="U64" i="11"/>
  <c r="T48" i="11"/>
  <c r="S71" i="11"/>
  <c r="V44" i="11"/>
  <c r="U67" i="11"/>
  <c r="W43" i="11"/>
  <c r="V66" i="11"/>
  <c r="V42" i="11"/>
  <c r="U65" i="11"/>
  <c r="W45" i="11"/>
  <c r="V68" i="11"/>
  <c r="V47" i="11"/>
  <c r="U70" i="11"/>
  <c r="U49" i="11"/>
  <c r="U72" i="11" s="1"/>
  <c r="T72" i="11"/>
  <c r="Z56" i="3" l="1"/>
  <c r="Y57" i="3" s="1"/>
  <c r="P100" i="11"/>
  <c r="P97" i="11"/>
  <c r="P24" i="17"/>
  <c r="Q24" i="17"/>
  <c r="S58" i="11"/>
  <c r="S59" i="11" s="1"/>
  <c r="N113" i="11"/>
  <c r="O113" i="11" s="1"/>
  <c r="O121" i="11" s="1"/>
  <c r="T46" i="11"/>
  <c r="N94" i="11"/>
  <c r="O94" i="11" s="1"/>
  <c r="S69" i="11"/>
  <c r="S82" i="11" s="1"/>
  <c r="M25" i="17"/>
  <c r="W41" i="11"/>
  <c r="V64" i="11"/>
  <c r="T71" i="11"/>
  <c r="U48" i="11"/>
  <c r="X45" i="11"/>
  <c r="W68" i="11"/>
  <c r="W42" i="11"/>
  <c r="V65" i="11"/>
  <c r="W44" i="11"/>
  <c r="V67" i="11"/>
  <c r="X43" i="11"/>
  <c r="W66" i="11"/>
  <c r="W47" i="11"/>
  <c r="W70" i="11" s="1"/>
  <c r="V70" i="11"/>
  <c r="Z57" i="3" l="1"/>
  <c r="Y58" i="3" s="1"/>
  <c r="P94" i="11"/>
  <c r="P102" i="11" s="1"/>
  <c r="Q102" i="11" s="1"/>
  <c r="P25" i="17"/>
  <c r="Q25" i="17"/>
  <c r="T58" i="11"/>
  <c r="T59" i="11" s="1"/>
  <c r="T69" i="11"/>
  <c r="T82" i="11" s="1"/>
  <c r="U46" i="11"/>
  <c r="M26" i="17"/>
  <c r="V48" i="11"/>
  <c r="V71" i="11" s="1"/>
  <c r="U71" i="11"/>
  <c r="X41" i="11"/>
  <c r="W64" i="11"/>
  <c r="Y43" i="11"/>
  <c r="X66" i="11"/>
  <c r="X42" i="11"/>
  <c r="W65" i="11"/>
  <c r="X44" i="11"/>
  <c r="W67" i="11"/>
  <c r="Y68" i="11"/>
  <c r="X68" i="11"/>
  <c r="Z58" i="3" l="1"/>
  <c r="Y59" i="3" s="1"/>
  <c r="P26" i="17"/>
  <c r="Q26" i="17"/>
  <c r="U58" i="11"/>
  <c r="U59" i="11" s="1"/>
  <c r="V46" i="11"/>
  <c r="U69" i="11"/>
  <c r="U82" i="11" s="1"/>
  <c r="Y66" i="11"/>
  <c r="M27" i="17"/>
  <c r="Y41" i="11"/>
  <c r="X64" i="11"/>
  <c r="Y42" i="11"/>
  <c r="X65" i="11"/>
  <c r="Y44" i="11"/>
  <c r="X67" i="11"/>
  <c r="Z59" i="3" l="1"/>
  <c r="Y60" i="3" s="1"/>
  <c r="Y58" i="11"/>
  <c r="Y59" i="11" s="1"/>
  <c r="P27" i="17"/>
  <c r="Q27" i="17"/>
  <c r="Y67" i="11"/>
  <c r="Y64" i="11"/>
  <c r="Y65" i="11"/>
  <c r="V58" i="11"/>
  <c r="V59" i="11" s="1"/>
  <c r="W46" i="11"/>
  <c r="V69" i="11"/>
  <c r="V82" i="11" s="1"/>
  <c r="M28" i="17"/>
  <c r="Z60" i="3" l="1"/>
  <c r="Y61" i="3" s="1"/>
  <c r="Y82" i="11"/>
  <c r="P28" i="17"/>
  <c r="Q28" i="17"/>
  <c r="W58" i="11"/>
  <c r="W59" i="11" s="1"/>
  <c r="X46" i="11"/>
  <c r="W69" i="11"/>
  <c r="W82" i="11" s="1"/>
  <c r="M29" i="17"/>
  <c r="Z61" i="3" l="1"/>
  <c r="Y62" i="3" s="1"/>
  <c r="P29" i="17"/>
  <c r="Q29" i="17"/>
  <c r="X69" i="11"/>
  <c r="X82" i="11" s="1"/>
  <c r="X58" i="11"/>
  <c r="X59" i="11" s="1"/>
  <c r="M30" i="17"/>
  <c r="Z62" i="3" l="1"/>
  <c r="Y63" i="3" s="1"/>
  <c r="P30" i="17"/>
  <c r="Q30" i="17"/>
  <c r="M31" i="17"/>
  <c r="Z63" i="3" l="1"/>
  <c r="Y64" i="3" s="1"/>
  <c r="P31" i="17"/>
  <c r="Q31" i="17"/>
  <c r="M32" i="17"/>
  <c r="Z64" i="3" l="1"/>
  <c r="Y65" i="3" s="1"/>
  <c r="P32" i="17"/>
  <c r="Q32" i="17"/>
  <c r="M33" i="17"/>
  <c r="Z65" i="3" l="1"/>
  <c r="Y66" i="3" s="1"/>
  <c r="P33" i="17"/>
  <c r="Q33" i="17"/>
  <c r="M34" i="17"/>
  <c r="Z66" i="3" l="1"/>
  <c r="Y67" i="3" s="1"/>
  <c r="P34" i="17"/>
  <c r="Q34" i="17"/>
  <c r="M35" i="17"/>
  <c r="Z67" i="3" l="1"/>
  <c r="Y68" i="3" s="1"/>
  <c r="P35" i="17"/>
  <c r="Q35" i="17"/>
  <c r="M36" i="17"/>
  <c r="Z68" i="3" l="1"/>
  <c r="Y69" i="3" s="1"/>
  <c r="P36" i="17"/>
  <c r="Q36" i="17"/>
  <c r="M37" i="17"/>
  <c r="Z69" i="3" l="1"/>
  <c r="Y70" i="3" s="1"/>
  <c r="P37" i="17"/>
  <c r="Q37" i="17"/>
  <c r="M38" i="17"/>
  <c r="Z70" i="3" l="1"/>
  <c r="Y71" i="3" s="1"/>
  <c r="P38" i="17"/>
  <c r="Q38" i="17"/>
  <c r="M39" i="17"/>
  <c r="Z71" i="3" l="1"/>
  <c r="Y72" i="3" s="1"/>
  <c r="P39" i="17"/>
  <c r="Q39" i="17"/>
  <c r="M40" i="17"/>
  <c r="Z72" i="3" l="1"/>
  <c r="Y73" i="3" s="1"/>
  <c r="P40" i="17"/>
  <c r="Q40" i="17"/>
  <c r="M41" i="17"/>
  <c r="Z73" i="3" l="1"/>
  <c r="Y74" i="3" s="1"/>
  <c r="P41" i="17"/>
  <c r="Q41" i="17"/>
  <c r="M42" i="17"/>
  <c r="Z74" i="3" l="1"/>
  <c r="Y75" i="3" s="1"/>
  <c r="P42" i="17"/>
  <c r="Q42" i="17"/>
  <c r="M43" i="17"/>
  <c r="Z75" i="3" l="1"/>
  <c r="Y76" i="3" s="1"/>
  <c r="P43" i="17"/>
  <c r="Q43" i="17"/>
  <c r="M44" i="17"/>
  <c r="Z76" i="3" l="1"/>
  <c r="Y77" i="3" s="1"/>
  <c r="P44" i="17"/>
  <c r="Q44" i="17"/>
  <c r="M45" i="17"/>
  <c r="Z77" i="3" l="1"/>
  <c r="Y78" i="3" s="1"/>
  <c r="P45" i="17"/>
  <c r="Q45" i="17"/>
  <c r="M46" i="17"/>
  <c r="Z78" i="3" l="1"/>
  <c r="Y79" i="3" s="1"/>
  <c r="P46" i="17"/>
  <c r="Q46" i="17"/>
  <c r="M47" i="17"/>
  <c r="Z79" i="3" l="1"/>
  <c r="Y80" i="3" s="1"/>
  <c r="P47" i="17"/>
  <c r="Q47" i="17"/>
  <c r="M48" i="17"/>
  <c r="Z80" i="3" l="1"/>
  <c r="Y81" i="3" s="1"/>
  <c r="P48" i="17"/>
  <c r="Q48" i="17"/>
  <c r="M49" i="17"/>
  <c r="Z81" i="3" l="1"/>
  <c r="Y82" i="3" s="1"/>
  <c r="P49" i="17"/>
  <c r="Q49" i="17"/>
  <c r="M50" i="17"/>
  <c r="Z82" i="3" l="1"/>
  <c r="Y83" i="3" s="1"/>
  <c r="P50" i="17"/>
  <c r="Q50" i="17"/>
  <c r="M51" i="17"/>
  <c r="Z83" i="3" l="1"/>
  <c r="P51" i="17"/>
  <c r="Q51" i="17"/>
  <c r="M52" i="17"/>
  <c r="Y84" i="3" l="1"/>
  <c r="Z84" i="3" s="1"/>
  <c r="P52" i="17"/>
  <c r="Q52" i="17"/>
  <c r="M53" i="17"/>
  <c r="P53" i="17" l="1"/>
  <c r="Q53" i="17"/>
  <c r="M54" i="17"/>
  <c r="P54" i="17" l="1"/>
  <c r="Q54" i="17"/>
  <c r="M55" i="17"/>
  <c r="P55" i="17" l="1"/>
  <c r="Q55" i="17"/>
  <c r="M56" i="17"/>
  <c r="P56" i="17" l="1"/>
  <c r="Q56" i="17"/>
  <c r="M57" i="17"/>
  <c r="P57" i="17" l="1"/>
  <c r="Q57" i="17"/>
  <c r="M58" i="17"/>
  <c r="P58" i="17" l="1"/>
  <c r="Q58" i="17"/>
  <c r="M59" i="17"/>
  <c r="P59" i="17" l="1"/>
  <c r="Q59" i="17"/>
  <c r="M60" i="17"/>
  <c r="P60" i="17" l="1"/>
  <c r="Q60" i="17"/>
  <c r="M61" i="17"/>
  <c r="P61" i="17" l="1"/>
  <c r="Q61" i="17"/>
  <c r="M62" i="17"/>
  <c r="P62" i="17" l="1"/>
  <c r="Q62" i="17"/>
  <c r="M63" i="17"/>
  <c r="Q63" i="17" s="1"/>
  <c r="Q65" i="17" l="1"/>
  <c r="P63" i="17"/>
  <c r="R67" i="17" s="1"/>
  <c r="R69" i="17" s="1"/>
  <c r="T67" i="17" l="1"/>
  <c r="T69" i="17" s="1"/>
  <c r="S65" i="17"/>
  <c r="R65" i="17"/>
  <c r="T65" i="17"/>
  <c r="S67" i="17"/>
  <c r="S69" i="17" s="1"/>
  <c r="U17" i="17"/>
  <c r="U21" i="17"/>
  <c r="U25" i="17"/>
  <c r="U29" i="17"/>
  <c r="U33" i="17"/>
  <c r="U37" i="17"/>
  <c r="U41" i="17"/>
  <c r="U45" i="17"/>
  <c r="U49" i="17"/>
  <c r="U53" i="17"/>
  <c r="U57" i="17"/>
  <c r="U61" i="17"/>
  <c r="U13" i="17"/>
  <c r="U14" i="17"/>
  <c r="U18" i="17"/>
  <c r="U22" i="17"/>
  <c r="U26" i="17"/>
  <c r="U30" i="17"/>
  <c r="U34" i="17"/>
  <c r="U38" i="17"/>
  <c r="U42" i="17"/>
  <c r="U46" i="17"/>
  <c r="U50" i="17"/>
  <c r="U54" i="17"/>
  <c r="U58" i="17"/>
  <c r="U62" i="17"/>
  <c r="U15" i="17"/>
  <c r="U19" i="17"/>
  <c r="U23" i="17"/>
  <c r="U27" i="17"/>
  <c r="U31" i="17"/>
  <c r="U35" i="17"/>
  <c r="U39" i="17"/>
  <c r="U43" i="17"/>
  <c r="U47" i="17"/>
  <c r="U51" i="17"/>
  <c r="U55" i="17"/>
  <c r="U59" i="17"/>
  <c r="U63" i="17"/>
  <c r="U16" i="17"/>
  <c r="U20" i="17"/>
  <c r="U24" i="17"/>
  <c r="U32" i="17"/>
  <c r="U36" i="17"/>
  <c r="U40" i="17"/>
  <c r="U44" i="17"/>
  <c r="U48" i="17"/>
  <c r="U52" i="17"/>
  <c r="U56" i="17"/>
  <c r="U60" i="17"/>
  <c r="P65" i="17"/>
  <c r="U67" i="17" l="1"/>
  <c r="U69" i="17" s="1"/>
  <c r="U65" i="17"/>
</calcChain>
</file>

<file path=xl/sharedStrings.xml><?xml version="1.0" encoding="utf-8"?>
<sst xmlns="http://schemas.openxmlformats.org/spreadsheetml/2006/main" count="1008" uniqueCount="569">
  <si>
    <t>Exercice 1</t>
  </si>
  <si>
    <t>Année</t>
  </si>
  <si>
    <t>Surface (ha)</t>
  </si>
  <si>
    <t>No de parcelle</t>
  </si>
  <si>
    <t>Année écl 1</t>
  </si>
  <si>
    <t>Année écl 2</t>
  </si>
  <si>
    <t>Année écl 3</t>
  </si>
  <si>
    <t>Le taux d'actualisation est de 2%</t>
  </si>
  <si>
    <t>Exercice 2</t>
  </si>
  <si>
    <t>Exercice 3</t>
  </si>
  <si>
    <t>Les informations complémentaires sont disponibles dans les feuilles de calcul "Prix" et "TableProd"</t>
  </si>
  <si>
    <t>Age = 25 ans</t>
  </si>
  <si>
    <t>Surface = 0,60 ha</t>
  </si>
  <si>
    <t>circ (cm)</t>
  </si>
  <si>
    <t>prix (€/m3)</t>
  </si>
  <si>
    <t>150-179</t>
  </si>
  <si>
    <t>180 +</t>
  </si>
  <si>
    <t>Hdom</t>
  </si>
  <si>
    <t>GHA = 36,3 m²/ha</t>
  </si>
  <si>
    <t>Hdom = 19,4 m</t>
  </si>
  <si>
    <t>Exercice 4</t>
  </si>
  <si>
    <t>Extrait des tables de production relatives au douglas (Rondeux et Thibaut, 1988)</t>
  </si>
  <si>
    <t>NHA = 1.280 tiges/ha</t>
  </si>
  <si>
    <t>les autres frais sont compensés par le revenu de la chasse.</t>
  </si>
  <si>
    <t>Rappel :</t>
  </si>
  <si>
    <t xml:space="preserve">Penser à utiliser la fonction TRI(valeurs;estimation) dans Excel [Par exemple : TRI(B2:B8;0,05)] </t>
  </si>
  <si>
    <t>avec des valeurs nulles en cas de cash flow nul et non des cellules laissées vides.</t>
  </si>
  <si>
    <t>Exercice 5</t>
  </si>
  <si>
    <t>Exercice 6</t>
  </si>
  <si>
    <t>Exercice 7</t>
  </si>
  <si>
    <t>La construction de la voirie représente un investissement de 107.000€</t>
  </si>
  <si>
    <t>Il faut ajouter les frais de l'étude préalable : 7.000 €</t>
  </si>
  <si>
    <t>Les éclaircies successives procurent un bénéfice respectivement de 1.500 €/ha, 3.000 €/ha et 6.100 €/ha</t>
  </si>
  <si>
    <t xml:space="preserve">CMOY </t>
  </si>
  <si>
    <t xml:space="preserve">CG </t>
  </si>
  <si>
    <t xml:space="preserve">(cm) </t>
  </si>
  <si>
    <t xml:space="preserve">l36 </t>
  </si>
  <si>
    <t xml:space="preserve">0 à </t>
  </si>
  <si>
    <t xml:space="preserve">40 à </t>
  </si>
  <si>
    <t xml:space="preserve">60 à </t>
  </si>
  <si>
    <t xml:space="preserve">70 à </t>
  </si>
  <si>
    <t>90 à</t>
  </si>
  <si>
    <t xml:space="preserve">120 à </t>
  </si>
  <si>
    <t>150 à</t>
  </si>
  <si>
    <t>2)</t>
  </si>
  <si>
    <t>1)</t>
  </si>
  <si>
    <t>Opération sylvicole</t>
  </si>
  <si>
    <t>Volume (m3)</t>
  </si>
  <si>
    <t>3)</t>
  </si>
  <si>
    <t>Préparation du sol/plantation</t>
  </si>
  <si>
    <t>Dégagement</t>
  </si>
  <si>
    <t>Elagage de pénétration</t>
  </si>
  <si>
    <t>Eclaircie</t>
  </si>
  <si>
    <t>Elagage 2*6m</t>
  </si>
  <si>
    <t>Mise à blanc</t>
  </si>
  <si>
    <t>la préparation du terrain coûte 900 €/ha;</t>
  </si>
  <si>
    <t>le coût de la plantation est de 1.900 €/ha;</t>
  </si>
  <si>
    <t>Plantation/préparation terrain</t>
  </si>
  <si>
    <t>Elagage en hauteur</t>
  </si>
  <si>
    <t>Prix (€/m³)</t>
  </si>
  <si>
    <t>Plantation/prépa terrain</t>
  </si>
  <si>
    <t>les dégagements sont prévus pendant les deux premières années et leur coût annuel est estimé à 450 €/ha;</t>
  </si>
  <si>
    <t>Nous admettrons que les dépenses et recettes annuelles se compensent entre elles.</t>
  </si>
  <si>
    <t>Volume (m³/ha)</t>
  </si>
  <si>
    <t>Flux (€/ha)</t>
  </si>
  <si>
    <t>Pour des raisons légales (assurances, délits, etc.), il est parfois nécessaire de calculer la valeur d'un arbre remarquable ou d'intérêt paysager.</t>
  </si>
  <si>
    <t xml:space="preserve">Age prévu pour la mise à blanc = 60 ans </t>
  </si>
  <si>
    <t>sachant par ailleurs que :</t>
  </si>
  <si>
    <t>Données relatives au marché du bois</t>
  </si>
  <si>
    <t>Calculez :</t>
  </si>
  <si>
    <t>Illustrez vos résultats par un graphique significatif</t>
  </si>
  <si>
    <t>Variantes (à chaque fois, par rapport aux données initiales de l'exercice) :</t>
  </si>
  <si>
    <t>Calculez ensuite la valeur du fonds et déduisez-en la valeur de la superficie du peuplement.</t>
  </si>
  <si>
    <t>Calculez la période de retour sans l'aide à l'investissement.</t>
  </si>
  <si>
    <t>Que devrait être l'augmentation moyenne du prix des bois mis à blanc pour compenser le coût d'un</t>
  </si>
  <si>
    <t>Soient les flux financiers présentés ci-dessous pour une parcelle de 1 ha d'épicéa.</t>
  </si>
  <si>
    <t>Un propriétaire souhaite construire une voirie pour faciliter l'exploitation de ses parcelles forestières.</t>
  </si>
  <si>
    <t>De combien d'années est réduite la période de retour si une aide à l'investissement est accordée ?</t>
  </si>
  <si>
    <t>Ventilation du volume en pour mille en fonction de la circonférence moyenne</t>
  </si>
  <si>
    <t>Prix de vente unitaire (bois sur pied) des bois de douglas par catégories commerciales</t>
  </si>
  <si>
    <t>20-39</t>
  </si>
  <si>
    <t>40-59</t>
  </si>
  <si>
    <t>60-69</t>
  </si>
  <si>
    <t>70-89</t>
  </si>
  <si>
    <t>90-119</t>
  </si>
  <si>
    <t>120-149</t>
  </si>
  <si>
    <t>A la suite de l'exploitation d'un taillis de châtaignier, un propriétaire hésite entre</t>
  </si>
  <si>
    <t>plusieurs solutions de gestion du taillis ou un reboisement en douglas.</t>
  </si>
  <si>
    <t>Comment l'aider à se décider ? Sur la base de quels critères ?</t>
  </si>
  <si>
    <t>Préciser vos hypothèses</t>
  </si>
  <si>
    <t>Fiscalité pour le taillis : 5 €/ha/an</t>
  </si>
  <si>
    <t>Fiscalité pour une plantation : 23 €/ha/an à partir de la 31e année</t>
  </si>
  <si>
    <t>Aide à la plantation : 40% du devis</t>
  </si>
  <si>
    <t>Aide à l'élagage : 40% du devis</t>
  </si>
  <si>
    <t>Cas 1 : taillis de 2000 tiges/ha avec coupe unique à 25 ans</t>
  </si>
  <si>
    <t>Prix(€/m3)</t>
  </si>
  <si>
    <t>Bois d'oeuvre</t>
  </si>
  <si>
    <t>Bois de trituration</t>
  </si>
  <si>
    <t>Cas 2 : 800 billes/ha à 35 ans</t>
  </si>
  <si>
    <t>Coût du dépressage à 10 ans : 1600 €</t>
  </si>
  <si>
    <t>Volume récolté à 35 ans : 300 m3</t>
  </si>
  <si>
    <t>Prix du bois : 50€/m3</t>
  </si>
  <si>
    <t>Cas 3 : 180 grumes/ha à 45 ans</t>
  </si>
  <si>
    <t>Eclaircie à 16 ans : bilan neutre</t>
  </si>
  <si>
    <t>Eclaircie à 25 ans : 40 m3 à 40 €/m3</t>
  </si>
  <si>
    <t>Coupe finale à 45 ans : 220 m3 à 140 €/m3</t>
  </si>
  <si>
    <t>Opération</t>
  </si>
  <si>
    <t>Volume</t>
  </si>
  <si>
    <t>Dépenses</t>
  </si>
  <si>
    <t>Recettes</t>
  </si>
  <si>
    <t>Traitement des souches</t>
  </si>
  <si>
    <t>500 €/ha</t>
  </si>
  <si>
    <t>Plantation 900 pieds</t>
  </si>
  <si>
    <t>900 €/ha</t>
  </si>
  <si>
    <t>Entretien</t>
  </si>
  <si>
    <t>120 €/ha</t>
  </si>
  <si>
    <t>250 €/ha</t>
  </si>
  <si>
    <t>60 m3</t>
  </si>
  <si>
    <t>0 €/m3</t>
  </si>
  <si>
    <t>Elagage</t>
  </si>
  <si>
    <t>250 tiges</t>
  </si>
  <si>
    <t>1,00€/tige</t>
  </si>
  <si>
    <t>90 m3</t>
  </si>
  <si>
    <t>8 €/m3</t>
  </si>
  <si>
    <t>2,50 €/tige</t>
  </si>
  <si>
    <t>110 m3</t>
  </si>
  <si>
    <t>23 €/m3</t>
  </si>
  <si>
    <t>Coupe finale</t>
  </si>
  <si>
    <t>420 m3</t>
  </si>
  <si>
    <t>70 €/m3</t>
  </si>
  <si>
    <t xml:space="preserve">Une pessière de 100 ha destinée à la production de bois est utilisée également à des fins cynégétiques. </t>
  </si>
  <si>
    <t>Voici les flux liés à cette parcelle d'épicéas en l'absence de dégâts.</t>
  </si>
  <si>
    <t>Le fonds est estimé à 2500 €/ha</t>
  </si>
  <si>
    <t>et que la location de la chasse évolue selon l'équation : prix (€/ha/an) = 32*ln(nombre de cervidés pour 100 ha).</t>
  </si>
  <si>
    <t>Après quelques visites de terrain, vous constatez que les peuplements présentent des dégâts dont l'importance est liée à la densité du gibier.</t>
  </si>
  <si>
    <t>Sachant que le taux de dégâts (proportion des tiges touchées) est proportionnel à la densité de gibier,</t>
  </si>
  <si>
    <t>que  3 cervidés aux 100 hectares provoquent un dégât évalué à 15% des tiges abîmées en permanence,</t>
  </si>
  <si>
    <t>que les tiges avec dégâts de gibier sont vendues 40% moins chères,</t>
  </si>
  <si>
    <t>Références</t>
  </si>
  <si>
    <t>http://environnement.wallonie.be/dnf/arbres_remarquables/Circulaire%20n%C2%B02660%20-%20Valeur%20d'agr%C3%A9ment.pdf</t>
  </si>
  <si>
    <t>http://environnement.wallonie.be/dnf/arbres_remarquables/ANNEXE%201%20de%20la%20Circulaire%20n%C2%B02660%20-%20Valeur%20d'agr%C3%A9ment.pdf</t>
  </si>
  <si>
    <t>http://environnement.wallonie.be/dnf/arbres_remarquables/ANNEXE%202%20de%20la%20Circulaire%20n%C2%B02660%20-%20Valeur%20des%20arbres.pdf</t>
  </si>
  <si>
    <t>La Région wallonne a ainsi mis au point une méthodologie de calcul expliquée dans la circulaire 2660, téléchargeable sur le web (voir références ci-dessous).</t>
  </si>
  <si>
    <t>Une parcelle de douglas est sujette à discussion entre deux experts : comment estimer au mieux sa valeur, dans le cas d'une vente de gré à gré ?</t>
  </si>
  <si>
    <t>Flux net (€/ha)</t>
  </si>
  <si>
    <t>On admet ici que les frais annuels sont compensés par les revenus de la chasse.</t>
  </si>
  <si>
    <t>A quels résultats pourrait-on s'attendre si le peuplement relevait plutôt de la classe de productivité 1 (discussion) ?</t>
  </si>
  <si>
    <t xml:space="preserve">Dans une pessière de 1 ha, on récolte au total 700 m3, avec une coupe finale vendue à 60€/m3, </t>
  </si>
  <si>
    <t>Scénario 0</t>
  </si>
  <si>
    <t>Prix du bois (€/m3)</t>
  </si>
  <si>
    <t>Volume total (m3)</t>
  </si>
  <si>
    <t>Revenu total (€)</t>
  </si>
  <si>
    <t>On élague 250 épicéas</t>
  </si>
  <si>
    <t>Scénario 1 : deux élagages permettent de produire 100 m3 de bois sans noeuds à la coupe finale</t>
  </si>
  <si>
    <t>Hauteur</t>
  </si>
  <si>
    <t>Coût</t>
  </si>
  <si>
    <t>2 m</t>
  </si>
  <si>
    <t>1,20 €/arbre</t>
  </si>
  <si>
    <t>4 m</t>
  </si>
  <si>
    <t>2,40 €/arbre</t>
  </si>
  <si>
    <t>Scénario 2 : deux élagages permettent de produire 160 m3 de bois sans noeuds à la coupe finale</t>
  </si>
  <si>
    <t>6 m</t>
  </si>
  <si>
    <t>3,50 €/arbre</t>
  </si>
  <si>
    <t>Scénario 3 : trois élagages permettent de produire 200 m3 de bois sans noeuds à la coupe finale</t>
  </si>
  <si>
    <t>3,00 €/arbre</t>
  </si>
  <si>
    <t>a) Pour chacun des 3 scénarios, calculer le prix de vente du bois élagué pour que l'élagage se justifie</t>
  </si>
  <si>
    <t>b) Quel est le scénario le plus rentable si le prix du bois élagué est de 75€/m3</t>
  </si>
  <si>
    <t>Exercice 9</t>
  </si>
  <si>
    <t>Connaissant les caractéristiques suivantes, calculez la valeur en bloc de cette douglasaie à l'âge de 25 ans.</t>
  </si>
  <si>
    <t>Exercice 8</t>
  </si>
  <si>
    <t>Exercice 10</t>
  </si>
  <si>
    <t>Ou est-il plus rentable de favoriser la croissance individuelle, même si le nombre de tiges est plus faible ?</t>
  </si>
  <si>
    <t>Comment aider le populiculteur dans son choix de l'écartement à la plantation ?</t>
  </si>
  <si>
    <t>Nombre de tiges / ha</t>
  </si>
  <si>
    <t>Ecartement</t>
  </si>
  <si>
    <t>Elagage et émondage</t>
  </si>
  <si>
    <t>Une revue publie les chiffres suivants (€/ha) :</t>
  </si>
  <si>
    <t>Age</t>
  </si>
  <si>
    <t>Nature des dépenses et des recettes</t>
  </si>
  <si>
    <t>Le fonds est évalué à 7500 €/ha</t>
  </si>
  <si>
    <t>Plantation</t>
  </si>
  <si>
    <t>Coupe rase</t>
  </si>
  <si>
    <t>7 m x 7 m</t>
  </si>
  <si>
    <t>8 m x 8 m</t>
  </si>
  <si>
    <t>9 m x 9 m</t>
  </si>
  <si>
    <t>10 m x 10 m</t>
  </si>
  <si>
    <t>Faut-il planter davantage de peupliers à l'hectare en réduisant l'écartement à la plantation ?</t>
  </si>
  <si>
    <t>Pour info</t>
  </si>
  <si>
    <t>Prix de vente moyen par peuplier (€)</t>
  </si>
  <si>
    <t>Volume individuel moyen (m3)</t>
  </si>
  <si>
    <t>Quelles conclusions pouvez-vous en tirer ?</t>
  </si>
  <si>
    <t>Ensuite, l'activité devra être abandonnée car les rendements de pêche seront devenus trop faibles</t>
  </si>
  <si>
    <t>D'après Colin Price : Time, Discounting and Value (page 15)</t>
  </si>
  <si>
    <t>Après 40 ans, le stock sera reconstitué à un niveau tel que la pêche engendrera un revenu annuel net de 500 millions de Yen indéfiniment.</t>
  </si>
  <si>
    <t>Si la pêche du thon continue au même rythme, on peut s'attendre à un revenu annuel net de 250 millons de Yen pendant les 10 prochaines années.</t>
  </si>
  <si>
    <t>Une alternative consiste à imposer un moratoire de 40 ans sur la pêche au thon</t>
  </si>
  <si>
    <t>Si cette parcelle se situe en zone N2000, quelle serait la perte de jouissance du fonds pour le propriétaire qui ne pourrait plus y planter de résineux ? (discussion)</t>
  </si>
  <si>
    <t>Exercice 11</t>
  </si>
  <si>
    <t>Exercice 12</t>
  </si>
  <si>
    <t>La plantation est agée de 13 ans</t>
  </si>
  <si>
    <t>Un incendie a détruit en partie une plantation de douglas.</t>
  </si>
  <si>
    <t xml:space="preserve">La surface concernée est de 0.65 ha. </t>
  </si>
  <si>
    <t>Le taux d'actualisation compatible avec la valeur du fonds est de 2.7%</t>
  </si>
  <si>
    <t>Quel est le préjudice subi par le propriétaire, connaissant l'état des dépenses occasionnées jusqu'à présent et calculées au prix du jour (il ne faut pas tenir compte de l'inflation) ?</t>
  </si>
  <si>
    <t>Taux d'actualisation = 2.8 %</t>
  </si>
  <si>
    <t>-</t>
  </si>
  <si>
    <t>Total</t>
  </si>
  <si>
    <t>180+</t>
  </si>
  <si>
    <t>150-180</t>
  </si>
  <si>
    <t>120-150</t>
  </si>
  <si>
    <t>90-120</t>
  </si>
  <si>
    <t>70-90</t>
  </si>
  <si>
    <t>60-70</t>
  </si>
  <si>
    <t>40-60</t>
  </si>
  <si>
    <t>20-40</t>
  </si>
  <si>
    <t>Classes de grosseur - Volume prélevés</t>
  </si>
  <si>
    <t>Distribution des volumes produits par classe de grosseur</t>
  </si>
  <si>
    <t>PTV</t>
  </si>
  <si>
    <t>AMV</t>
  </si>
  <si>
    <t>ACV</t>
  </si>
  <si>
    <t>AMG</t>
  </si>
  <si>
    <t>ACG</t>
  </si>
  <si>
    <t>ACC</t>
  </si>
  <si>
    <t>Vha</t>
  </si>
  <si>
    <t>Gha</t>
  </si>
  <si>
    <t>Cg</t>
  </si>
  <si>
    <t>Nha</t>
  </si>
  <si>
    <t>Accroissements</t>
  </si>
  <si>
    <t>Après éclaircie</t>
  </si>
  <si>
    <t>Avant éclaircie</t>
  </si>
  <si>
    <t>Table de production</t>
  </si>
  <si>
    <t>Plantation 2.5 x 2 (85% de reprise)</t>
  </si>
  <si>
    <t>Cloisonnement: 1 ligne sur 9</t>
  </si>
  <si>
    <t>Classe II (36 m à 50 ans)</t>
  </si>
  <si>
    <t>J. Perin, 2016</t>
  </si>
  <si>
    <t>Rotation = 6 ans</t>
  </si>
  <si>
    <t>Essence: douglas</t>
  </si>
  <si>
    <t>Caractéristiques:</t>
  </si>
  <si>
    <t>Classes de grosseur - Volume sur pied avant éclaircie</t>
  </si>
  <si>
    <t xml:space="preserve">à la classe de productivité 2 (voir la feuille "TableProd"), </t>
  </si>
  <si>
    <t>Le fonds est estimé à 4000 €/ha</t>
  </si>
  <si>
    <t>Si la période de retour est inférieure à 15 ans, une aide au financement est possible. Cette aide couvrirait 25% de l'investissement du projet.</t>
  </si>
  <si>
    <t xml:space="preserve">    élagage en hauteur réalisé à 25 ans pour un montant de 1500 €/ha</t>
  </si>
  <si>
    <t>Un chablis a détruit en partie une plantation de douglas.</t>
  </si>
  <si>
    <t xml:space="preserve">La surface concernée est de 2.65 ha. </t>
  </si>
  <si>
    <t>La plantation est agée de 43 ans</t>
  </si>
  <si>
    <t>Les bois chablis ont été vendus pour la somme de 30.000 eur</t>
  </si>
  <si>
    <t>Quel est le préjudice subi par le propriétaire, si l'évoluation attendue de la plantation avant chablis était parfaitement décrite par le meilleur scénario de l'exercice 4</t>
  </si>
  <si>
    <t>Seuil</t>
  </si>
  <si>
    <t>l'élagage de pénétration est prévu à 17 ans et coûte 1.900 €/ha;</t>
  </si>
  <si>
    <t>Cas 4 : plantation de douglas</t>
  </si>
  <si>
    <t xml:space="preserve">Recherchez le terme d'exploitabilité en maximisant la valeur du BASI pour un peuplement de douglas appartenant </t>
  </si>
  <si>
    <t>le taux d'actualisation est fixé à 4%</t>
  </si>
  <si>
    <t>les pertes dues à la mortalité naturelle et au gibier amputent les revenus de 20% durant toute la vie du peuplement</t>
  </si>
  <si>
    <t>4)</t>
  </si>
  <si>
    <t>Construisez une courbe exprimant la valeur en bloc de la douglasaie de 0 à 60 ans</t>
  </si>
  <si>
    <t xml:space="preserve">Hauteur de l'arbre : </t>
  </si>
  <si>
    <t xml:space="preserve">C150 : </t>
  </si>
  <si>
    <t xml:space="preserve">Rayon de la couronne : </t>
  </si>
  <si>
    <t>Frais d'exploitation pour le taillis : 15 €/m3</t>
  </si>
  <si>
    <t>le TIR sachant que le fonds a une valeur de 3500 €/ha</t>
  </si>
  <si>
    <t>le bénéfice actualisé simple (BAS), pour un taux d'actualisation de 3% et de 4%</t>
  </si>
  <si>
    <t>Est-il logique de fixer un taux de 5% pour des flux portant sur une si longue durée ?</t>
  </si>
  <si>
    <t>Que se passe t-il si vous choisissez un taux plus adapté ?</t>
  </si>
  <si>
    <t>Les feuillus sont vendus bord de route</t>
  </si>
  <si>
    <t>Le douglas est vendu sur pied</t>
  </si>
  <si>
    <t>Pour un fonds estimé à 4000 eur/ha, calculer la valeur de TIR</t>
  </si>
  <si>
    <t>Grâce à cette dernière, estimez la valeur d'agrément du Ginkgo biloba situé dans le parc de la faculté.</t>
  </si>
  <si>
    <t>cm</t>
  </si>
  <si>
    <t>m</t>
  </si>
  <si>
    <t>BAS_3%</t>
  </si>
  <si>
    <t>BAS_4%</t>
  </si>
  <si>
    <t>fond</t>
  </si>
  <si>
    <t>BASF_3%</t>
  </si>
  <si>
    <t>BASF_4%</t>
  </si>
  <si>
    <t>TIRF</t>
  </si>
  <si>
    <t>BAS</t>
  </si>
  <si>
    <t>BASF</t>
  </si>
  <si>
    <t>BASI</t>
  </si>
  <si>
    <t>year</t>
  </si>
  <si>
    <t>numérateur 1</t>
  </si>
  <si>
    <t>numérateur 2</t>
  </si>
  <si>
    <t>flux actu</t>
  </si>
  <si>
    <t>valeur</t>
  </si>
  <si>
    <t>basi_num</t>
  </si>
  <si>
    <t>flux</t>
  </si>
  <si>
    <t>fonds 0.6ha</t>
  </si>
  <si>
    <t>V(25 ans, /ha)</t>
  </si>
  <si>
    <t>recette</t>
  </si>
  <si>
    <t>année</t>
  </si>
  <si>
    <t>net</t>
  </si>
  <si>
    <t>recette_1ha</t>
  </si>
  <si>
    <t>investissement</t>
  </si>
  <si>
    <t>aide</t>
  </si>
  <si>
    <t>sans aide</t>
  </si>
  <si>
    <t>avec aide</t>
  </si>
  <si>
    <t>total cumulé</t>
  </si>
  <si>
    <t>1) calcul des recettes issues des coupes</t>
  </si>
  <si>
    <t>total (€/ha)</t>
  </si>
  <si>
    <t>total - perte</t>
  </si>
  <si>
    <t>2) Calcul des recettes d'une mise à blanc</t>
  </si>
  <si>
    <t>année de MAB</t>
  </si>
  <si>
    <t>BASI numérateur</t>
  </si>
  <si>
    <t>max</t>
  </si>
  <si>
    <t>Perte</t>
  </si>
  <si>
    <t>net_elag</t>
  </si>
  <si>
    <t>net actualisé</t>
  </si>
  <si>
    <t>taux</t>
  </si>
  <si>
    <t>le terme d'exploitabilité arriverai plus tôt</t>
  </si>
  <si>
    <t>permettant à taux fixe d'augmenter la valeur du fond</t>
  </si>
  <si>
    <t>taux d'actualisation</t>
  </si>
  <si>
    <t>échéancier</t>
  </si>
  <si>
    <t>impot</t>
  </si>
  <si>
    <t>travaux</t>
  </si>
  <si>
    <t>on suppose que la situation est durable à l'infini!</t>
  </si>
  <si>
    <t>pas d'impôt l'année 0</t>
  </si>
  <si>
    <t>volume récolté</t>
  </si>
  <si>
    <t>le plus intéressant (financièrement) de 1 à 6%</t>
  </si>
  <si>
    <t>densité cervidé</t>
  </si>
  <si>
    <t>proportion tige dégâts</t>
  </si>
  <si>
    <t>chasse</t>
  </si>
  <si>
    <t>location chasse</t>
  </si>
  <si>
    <t>densité</t>
  </si>
  <si>
    <t>projet 1</t>
  </si>
  <si>
    <t>projet 2</t>
  </si>
  <si>
    <t>projet 3</t>
  </si>
  <si>
    <t>projet 4</t>
  </si>
  <si>
    <t>TIR</t>
  </si>
  <si>
    <t>r</t>
  </si>
  <si>
    <t>scenario 1</t>
  </si>
  <si>
    <t>scenario 2</t>
  </si>
  <si>
    <t>estimation au prix de revient</t>
  </si>
  <si>
    <t>-net</t>
  </si>
  <si>
    <t>V(13 ans)</t>
  </si>
  <si>
    <t>le fond n'est pas perdu</t>
  </si>
  <si>
    <t>préjudice</t>
  </si>
  <si>
    <t>correction de la superficie</t>
  </si>
  <si>
    <t>- fond</t>
  </si>
  <si>
    <t>diam</t>
  </si>
  <si>
    <t>Remarque : j'ai doublé certaines années dans l'échéancier pour avoir des lignes verticales dans le graphique lorsque des interventions ont eu lieue</t>
  </si>
  <si>
    <t>Augmentation des recette après élagage (MAB uniquement)</t>
  </si>
  <si>
    <t>Variante 2</t>
  </si>
  <si>
    <t>Variante 1</t>
  </si>
  <si>
    <t>calcul du TIR</t>
  </si>
  <si>
    <t>Soit le scénario avec MAX à 53 ans</t>
  </si>
  <si>
    <t>le coût de l'élagage devrait toujours être compensé par une hausse de prix, mais puisque les recettes sont moins éloignées dans le temps, l'augmentation devrait être plus faible que pour le scénario en classe II</t>
  </si>
  <si>
    <t>En classe de productivité I</t>
  </si>
  <si>
    <t>Variante 3</t>
  </si>
  <si>
    <t>CAS 1 - taillis</t>
  </si>
  <si>
    <t>CAS 2 - taillis-&gt;futaie 800 tiges/ha</t>
  </si>
  <si>
    <t>CAS 3 - taillis-&gt;futaie 180 tiges/ha</t>
  </si>
  <si>
    <t>pas comparable car les projets ont des durées différentes</t>
  </si>
  <si>
    <t>CAS 4 - plantation</t>
  </si>
  <si>
    <t>BASI (r = 2%)</t>
  </si>
  <si>
    <t>BASI(r= 1%)</t>
  </si>
  <si>
    <t>BASI (r=3%)</t>
  </si>
  <si>
    <t>sans dégât</t>
  </si>
  <si>
    <t>avec dégât</t>
  </si>
  <si>
    <t>V * P</t>
  </si>
  <si>
    <t>V * P * 0.6</t>
  </si>
  <si>
    <t>combiné</t>
  </si>
  <si>
    <t>1/(1+r)^i</t>
  </si>
  <si>
    <t>net avec le fonds</t>
  </si>
  <si>
    <t>irr</t>
  </si>
  <si>
    <t>En copiant collant les résultats de la ligne 64</t>
  </si>
  <si>
    <t>optimum</t>
  </si>
  <si>
    <t>critère</t>
  </si>
  <si>
    <t>BASI 1%</t>
  </si>
  <si>
    <t>BASI 2%</t>
  </si>
  <si>
    <t>BASI 3%</t>
  </si>
  <si>
    <t>BAS 1%</t>
  </si>
  <si>
    <t>BAS 2%</t>
  </si>
  <si>
    <t>BAS 3%</t>
  </si>
  <si>
    <t>BASF 1%</t>
  </si>
  <si>
    <t>BASF 2%</t>
  </si>
  <si>
    <t>BASF 3%</t>
  </si>
  <si>
    <t>BAS irr%</t>
  </si>
  <si>
    <t>BASF irr%</t>
  </si>
  <si>
    <t>BASI irr%</t>
  </si>
  <si>
    <t>dépense</t>
  </si>
  <si>
    <t>n</t>
  </si>
  <si>
    <t>prix élagage</t>
  </si>
  <si>
    <t>prix bois</t>
  </si>
  <si>
    <t>volume</t>
  </si>
  <si>
    <t>scénario 0</t>
  </si>
  <si>
    <t>scénario 1</t>
  </si>
  <si>
    <t>année 0</t>
  </si>
  <si>
    <t>année 5</t>
  </si>
  <si>
    <t>année 10</t>
  </si>
  <si>
    <t>vol élagué</t>
  </si>
  <si>
    <t>scénario 2</t>
  </si>
  <si>
    <t>prix élagué</t>
  </si>
  <si>
    <t>différence</t>
  </si>
  <si>
    <t>(1+r)^(35-i)</t>
  </si>
  <si>
    <t>méthode 2</t>
  </si>
  <si>
    <t>méthode 3</t>
  </si>
  <si>
    <t>Exercice 13</t>
  </si>
  <si>
    <t>Brèteau-Amores, S., Brunette, M. and Davi, H. 2019 An Economic Comparison of Adaptation Strategies Towards a Drought-induced Risk of Forest Decline. Ecol. Econ., 164, 106294.</t>
  </si>
  <si>
    <t>Paramètres utilisés pour les simulations sélectionnées (juste pour votre information)</t>
  </si>
  <si>
    <t>Scénario 1</t>
  </si>
  <si>
    <t>Scénario 2</t>
  </si>
  <si>
    <t>Scénario 3</t>
  </si>
  <si>
    <t>remarque</t>
  </si>
  <si>
    <t>climate (scnéario GIEC)</t>
  </si>
  <si>
    <t>RCP 4.5</t>
  </si>
  <si>
    <t>forcage radiatif et températeur &lt; +4.5°C</t>
  </si>
  <si>
    <t>Available water capacity</t>
  </si>
  <si>
    <t>100 mm</t>
  </si>
  <si>
    <t>risque intermédiaire</t>
  </si>
  <si>
    <t>Species</t>
  </si>
  <si>
    <t>Beech</t>
  </si>
  <si>
    <t>Douglas-fir</t>
  </si>
  <si>
    <t>Renegration</t>
  </si>
  <si>
    <t>Natural</t>
  </si>
  <si>
    <t>Nb. Thinnings</t>
  </si>
  <si>
    <t>Initial density</t>
  </si>
  <si>
    <t>Rotation length</t>
  </si>
  <si>
    <t>Scénario</t>
  </si>
  <si>
    <t>net (bois)</t>
  </si>
  <si>
    <t>net (CO2)</t>
  </si>
  <si>
    <t>scénario 3</t>
  </si>
  <si>
    <t>1/(1+r)^n</t>
  </si>
  <si>
    <t>HARTMAN</t>
  </si>
  <si>
    <t>B_NA</t>
  </si>
  <si>
    <t>B_DR2</t>
  </si>
  <si>
    <t>D_S</t>
  </si>
  <si>
    <t>BASI le plus élevé</t>
  </si>
  <si>
    <t>Hartman le plus élevé</t>
  </si>
  <si>
    <t>meilleur gain CO2</t>
  </si>
  <si>
    <t>date</t>
  </si>
  <si>
    <t>fonds</t>
  </si>
  <si>
    <t>opération</t>
  </si>
  <si>
    <t>net + fonds</t>
  </si>
  <si>
    <t>superficie 0.6ha</t>
  </si>
  <si>
    <t>le fond</t>
  </si>
  <si>
    <t>la plantation</t>
  </si>
  <si>
    <t>actualisation et valeur avant la dépense</t>
  </si>
  <si>
    <t>valeur après la dépense</t>
  </si>
  <si>
    <t>et ainsi de suite par récurrence</t>
  </si>
  <si>
    <t>Question 4</t>
  </si>
  <si>
    <t>3.Evolution de la valeur en block</t>
  </si>
  <si>
    <t>1/ construire l'échéancier</t>
  </si>
  <si>
    <t>2/ actualiser les recettes à l'année 0 (S)</t>
  </si>
  <si>
    <t>3/ cumuler les flux actualisés  avec (T) et sans aide (U)</t>
  </si>
  <si>
    <t>4/ le retour sur investissement est obtenu une fois que des valeur &gt; 0  sont observées</t>
  </si>
  <si>
    <t>il faut 10 ans sans aide et 7 ans avec l'aide (3 ans de gagné)</t>
  </si>
  <si>
    <t>Solution 1 SOLVER</t>
  </si>
  <si>
    <t>1. valeur en block à 25 ans</t>
  </si>
  <si>
    <t>recettes des mises à blancs</t>
  </si>
  <si>
    <t>recettes des éclaircies</t>
  </si>
  <si>
    <t>3) construction de l'échéancier et calcul du BASI</t>
  </si>
  <si>
    <t>calcul du BASI (d'une autre façon)</t>
  </si>
  <si>
    <t>cas</t>
  </si>
  <si>
    <t>cas 1 à 3</t>
  </si>
  <si>
    <t>frais expl.</t>
  </si>
  <si>
    <t>données</t>
  </si>
  <si>
    <t>dépressage</t>
  </si>
  <si>
    <t>eclaircie 25</t>
  </si>
  <si>
    <t>m³</t>
  </si>
  <si>
    <t>prix</t>
  </si>
  <si>
    <t>frais</t>
  </si>
  <si>
    <t>coupe 45</t>
  </si>
  <si>
    <t>coupe 35</t>
  </si>
  <si>
    <t>somme</t>
  </si>
  <si>
    <t>SOLVER</t>
  </si>
  <si>
    <r>
      <t xml:space="preserve">Afin de conseiller le propriétaire, </t>
    </r>
    <r>
      <rPr>
        <b/>
        <sz val="10"/>
        <rFont val="Arial"/>
        <family val="2"/>
      </rPr>
      <t>rechercher la densité de gibier idéal</t>
    </r>
    <r>
      <rPr>
        <sz val="10"/>
        <rFont val="Arial"/>
        <family val="2"/>
      </rPr>
      <t xml:space="preserve">e : </t>
    </r>
  </si>
  <si>
    <t>Solution 2 TRI.PAIEMENT</t>
  </si>
  <si>
    <t>1/(1+R)^i</t>
  </si>
  <si>
    <t>solution avec le Solver</t>
  </si>
  <si>
    <t>Solution sans le Solver (préférable)</t>
  </si>
  <si>
    <t>R35 = Prix_élagué * V_élagué + Prix * (V35 - V_élagué)</t>
  </si>
  <si>
    <t>Méthode 1</t>
  </si>
  <si>
    <t>On actualise les flux à l'année 0 (comme d'habitude)</t>
  </si>
  <si>
    <t>On calcul la différence de valeur entre BAS_0 et BAS_1</t>
  </si>
  <si>
    <t>On égale cette différence à une recette qui aurait lieu l'année 35 en lien avec l'élagage</t>
  </si>
  <si>
    <t>BAS_1 - BAS_ref = Vol_élagué * (Prix_élagué - Prix) / (1+r)^35</t>
  </si>
  <si>
    <t>On réarrangeant la formule on peut calculer le Prix élagué</t>
  </si>
  <si>
    <t>Méthode 2</t>
  </si>
  <si>
    <t>Même méthode mais on actualise les flux à l'année 35 date à laquelle il y a une modification de la recette</t>
  </si>
  <si>
    <t xml:space="preserve">BAS_1 - BAS_ref = Vol_élagué * (Prix_élagué - Prix) </t>
  </si>
  <si>
    <t>Valeur de base</t>
  </si>
  <si>
    <t>C2/4pi*H*R</t>
  </si>
  <si>
    <t>Sorte</t>
  </si>
  <si>
    <t>Gingko biloba</t>
  </si>
  <si>
    <t>Silhouette</t>
  </si>
  <si>
    <t>Condition</t>
  </si>
  <si>
    <t>qq signes de dépérissement</t>
  </si>
  <si>
    <t>solitaire</t>
  </si>
  <si>
    <t>Situation</t>
  </si>
  <si>
    <t>semi-rural avec fortes présences d'espaces verts</t>
  </si>
  <si>
    <t>Patrimonial</t>
  </si>
  <si>
    <t>dans un parc historique</t>
  </si>
  <si>
    <t>€</t>
  </si>
  <si>
    <t>Valeur</t>
  </si>
  <si>
    <t>basf1</t>
  </si>
  <si>
    <t>basf2</t>
  </si>
  <si>
    <t>basf3</t>
  </si>
  <si>
    <t>basf4</t>
  </si>
  <si>
    <t>Le quatrième scénario permet de maximiser le TIR</t>
  </si>
  <si>
    <t>Calcul du TIR avec la fonction TRI</t>
  </si>
  <si>
    <t>Calcul du TIR avec le solver</t>
  </si>
  <si>
    <t>BAS1</t>
  </si>
  <si>
    <t>BAS2</t>
  </si>
  <si>
    <t>BAS3</t>
  </si>
  <si>
    <t>BAS4</t>
  </si>
  <si>
    <t>Calcul du BAS ou BASI pour différents r</t>
  </si>
  <si>
    <t>Le quatrième scénario est bien le meilleure pour une gamme de taux d'actualisation</t>
  </si>
  <si>
    <t>le scénario 3 devient une alternative également intéressante.</t>
  </si>
  <si>
    <t>allant de 1 à 7%. On notre que pour des taux d'actualisation très faible (r proche de 1%) alors</t>
  </si>
  <si>
    <t xml:space="preserve">En actualisant avec un taux de 5%, les bénéfices dans 40 ans sont multiplié par </t>
  </si>
  <si>
    <t>Le choix du taux d'actualisation peut avoir plus d'importance que l'évaluation de la valeur des biens...</t>
  </si>
  <si>
    <t>Un scénario durable est un scénario qui mets les intérets des générations futures sur le même plan d'égalité que</t>
  </si>
  <si>
    <t>Mais les générations futures n'ont pas de poids électoral…</t>
  </si>
  <si>
    <t>On divise pratiquement par 10 les revenus de la pêche obtenu dans 40 ans</t>
  </si>
  <si>
    <t>On évalue la valeur présente de 500 millions reçu chaque année indéfiniment à 1420 €!</t>
  </si>
  <si>
    <t>En actualisant on effectue un compromis entre le bien être des générérations d'aujourd'hui et de demain</t>
  </si>
  <si>
    <t xml:space="preserve">les générations d'aujourd'hui. Ce concept est; pour certains biens et services, </t>
  </si>
  <si>
    <t>en contradiction avec celui de l'application d'un taux d'actualisation (surtout s'il est élevé).</t>
  </si>
  <si>
    <t>-net * (1+r)^(a-i)</t>
  </si>
  <si>
    <t>(1+r)^(n+a-i) ou (1+r)^(a-i)</t>
  </si>
  <si>
    <t>V(a=43)</t>
  </si>
  <si>
    <t>a</t>
  </si>
  <si>
    <t>€/ha</t>
  </si>
  <si>
    <t>Superficie(a=43)</t>
  </si>
  <si>
    <t>Superficie</t>
  </si>
  <si>
    <t>Préjudice</t>
  </si>
  <si>
    <t>fonds!</t>
  </si>
  <si>
    <t>flux/(1+r)^(i-a)</t>
  </si>
  <si>
    <t>V(a=43 ans)</t>
  </si>
  <si>
    <t>Calcul de la valeur en bloc pour l'année du préjudice</t>
  </si>
  <si>
    <t>Récupérer l'échéancier et calcul du fonds</t>
  </si>
  <si>
    <t>Calcul avec la formule de la valeur d'attente</t>
  </si>
  <si>
    <t>peu sensible au r</t>
  </si>
  <si>
    <t>Ce scénario "douglas" semble moins rentable que les deux autres</t>
  </si>
  <si>
    <t>Ce serait néanmoins prématuré de conclure qu'il faut exclure le douglas</t>
  </si>
  <si>
    <t>D'autres scénarios avec du douglas devrait être testé (densité de plantation, élagage, éclaircie…).</t>
  </si>
  <si>
    <r>
      <rPr>
        <b/>
        <sz val="10"/>
        <rFont val="Arial"/>
        <family val="2"/>
      </rPr>
      <t>Explication</t>
    </r>
    <r>
      <rPr>
        <sz val="10"/>
        <rFont val="Arial"/>
        <family val="2"/>
      </rPr>
      <t xml:space="preserve"> : Les scénarios sont comparés en utilisant les BAS (même durée d'investissement, et on a pas les flux de l'installation du peuplement). Seules les dépenses d'élagage et la recettes de la mise à blanc varient d'un scénario à l'autre. La recette à 35 ans dépend du prix des bois élagué (cf. formule ci-dessous). Avec le solver, on teste différentes valeurs de Prix élagués pour annuler la différence entre le BAS d'un scénario alternatif et du BAS du scénario de référence.</t>
    </r>
  </si>
  <si>
    <t>Si vous aviez utilisez le TIR, quel scénario auriez-vous privilégié?</t>
  </si>
  <si>
    <t>Faites la somme de la colonne net (CO2). Quel est le résultat. Est-ce logique d'avoir un BAS ne tenant compte que du C02 qui soit &gt; 0. Expliquer pourquoi.</t>
  </si>
  <si>
    <t>Etablissez un lien entre la capture de C02 et la révolution.</t>
  </si>
  <si>
    <t>35 ans après le premier élagage effectué à 15 ans considéré comme l'année 0 (r = 2%).</t>
  </si>
  <si>
    <t>A partir d'un modèle méchanistique, Bréteau-Amores et al (2019) ont étudié différents scénarios de gestion en tenant compte du risque de sécheresse et des quantités de C02 stoqués. Les peuplements étudiées sont des hêtres en Bourgognes connus pour être menacées par les changements climatiques. Trois scénarios ont été sélectionés pour cet exercice. Les bénéfices nets de trois scénarios sont renseignées ci-dessous. On distingue les bénéfices nets de la production de bois et ceux correspondant au stockage de C02 dans la forêt. Quel est selon vous le scénario le plus adapté (utiliser la formule de Faustmann et de Hartman)? Peut-on conclure avec ces données qu'il faut/ne faut pas remplacer les peuplements de hêtre par des peuplements de douglas. Le taux d'actualisation choisi est de 3%.</t>
  </si>
  <si>
    <t>2. VAN</t>
  </si>
  <si>
    <t>van</t>
  </si>
  <si>
    <t>VAN _n</t>
  </si>
  <si>
    <t>VAN_inf = F</t>
  </si>
  <si>
    <t xml:space="preserve">Le fonds correspond à la valeur actualisée de tous les bénéfices qui seront perçu de l'année 0 jusqu'à perpétuité. 
Pour la suite de l’explication, je considère que le fonds ne dépends que des bénéfices liés à la production de bois (des biens marchands, il s’agit donc d’une partie de la valeur technique).
Imaginons deux cas de figure : soit le propriétaire ne peut plus exploiter de bois (aucun bénéfice) soit il peut continuer à exploiter du bois mais il ne peut plus planter d’épicéa (c’est la question de l’exercice).
Si le propriétaire ne peut plus exploiter de bois, il n’obtiendra plus aucun bénéfice. La valeur du fonds devient égale à zéro. La perte de jouissance est donc égale à la valeur du fonds calculée pour l’épicéa.
Si le propriétaire peut continuer d’exploiter du bois mais de façon moins rentable (plus de plantation d’épicéa), alors la valeur du fonds va diminuer. Pour calculer la perte de jouissance, il faudra calculer la valeur du fonds en établissant l'échéancier de la meilleure gestion alternative. 
Remarque : la valeur de vente, la valeur vénale peuvent également dépendre de la valeur de convenance. La variation de la valeur de convenance pourrait également faire partie du calcul de la perte de jouissance. Elle est à évaluer en comparant la meilleure alternative avec le cas de la plantation d’épicéa. Dans ce cas, on peut penser que le passage en N2000 ne devrait pas avoir trop d’influence (paysage, récréation, ...)
</t>
  </si>
  <si>
    <t>V (début)</t>
  </si>
  <si>
    <t>V(fin)</t>
  </si>
  <si>
    <t>flux2</t>
  </si>
  <si>
    <t>3.Evolution de la valeur en block (autre méthode)</t>
  </si>
  <si>
    <t>Autre méthode</t>
  </si>
  <si>
    <t>Il faut que le surplus de recette à 53 ans soit égale à la dépense à 25 ans</t>
  </si>
  <si>
    <t>donc</t>
  </si>
  <si>
    <t>Recette prévue sans élagage</t>
  </si>
  <si>
    <t xml:space="preserve">Augmentation des recettes </t>
  </si>
  <si>
    <t>D/ (1+r)^25 = R_suppl /(1+r) ^53</t>
  </si>
  <si>
    <t>Recette supplémentaire escomptée (R_suppl)</t>
  </si>
  <si>
    <t>Solution encore plus directe (la plus élégante…)</t>
  </si>
  <si>
    <t>coût actualisé / arbre</t>
  </si>
  <si>
    <t>coût total actualisé</t>
  </si>
  <si>
    <t>volume élagué</t>
  </si>
  <si>
    <t>recette actualisée qui compense les coûts</t>
  </si>
  <si>
    <t>Augmentation du prix pour les bois élagué</t>
  </si>
  <si>
    <t>Prix pour les bois élagués</t>
  </si>
  <si>
    <t>L'augmentation des recettes actualisée doit exactement compenser l'augmentation du coût</t>
  </si>
  <si>
    <t>Calculer la valeur actuelle nette pour les deux stratégies avec un taux d'actualisation de 5%</t>
  </si>
  <si>
    <t>VAN</t>
  </si>
  <si>
    <t>En choisissant un taux plus faible, un scénario de pêche durable obtient une meilleure VAN (ici égal au BASI)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</si>
</sst>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00"/>
    <numFmt numFmtId="166" formatCode="0.000%"/>
    <numFmt numFmtId="167" formatCode="0.0000%"/>
    <numFmt numFmtId="168" formatCode="0.0000"/>
    <numFmt numFmtId="169" formatCode="0.00000"/>
    <numFmt numFmtId="170" formatCode="0.0000000000"/>
  </numFmts>
  <fonts count="28">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sz val="10"/>
      <color indexed="10"/>
      <name val="Arial"/>
      <family val="2"/>
    </font>
    <font>
      <sz val="8.5"/>
      <color indexed="63"/>
      <name val="Courier New"/>
      <family val="3"/>
    </font>
    <font>
      <sz val="8.5"/>
      <color indexed="58"/>
      <name val="Courier New"/>
      <family val="3"/>
    </font>
    <font>
      <sz val="10"/>
      <name val="Arial"/>
      <family val="2"/>
    </font>
    <font>
      <sz val="10"/>
      <color indexed="63"/>
      <name val="Arial"/>
      <family val="2"/>
    </font>
    <font>
      <i/>
      <sz val="10"/>
      <color indexed="63"/>
      <name val="Arial"/>
      <family val="2"/>
    </font>
    <font>
      <b/>
      <sz val="10"/>
      <color indexed="63"/>
      <name val="Arial"/>
      <family val="2"/>
    </font>
    <font>
      <b/>
      <sz val="10"/>
      <color indexed="58"/>
      <name val="Arial"/>
      <family val="2"/>
    </font>
    <font>
      <sz val="10"/>
      <color indexed="58"/>
      <name val="Arial"/>
      <family val="2"/>
    </font>
    <font>
      <sz val="10"/>
      <color indexed="8"/>
      <name val="Geneva"/>
    </font>
    <font>
      <b/>
      <sz val="10"/>
      <color indexed="8"/>
      <name val="Geneva"/>
    </font>
    <font>
      <b/>
      <sz val="11"/>
      <color theme="1"/>
      <name val="Calibri"/>
      <family val="2"/>
      <scheme val="minor"/>
    </font>
    <font>
      <b/>
      <sz val="9"/>
      <color theme="1"/>
      <name val="Calibri"/>
      <family val="2"/>
      <scheme val="minor"/>
    </font>
    <font>
      <u/>
      <sz val="10"/>
      <color theme="10"/>
      <name val="Arial"/>
      <family val="2"/>
    </font>
    <font>
      <b/>
      <sz val="12"/>
      <name val="Arial"/>
      <family val="2"/>
    </font>
    <font>
      <sz val="10"/>
      <name val="Arial"/>
      <family val="2"/>
    </font>
    <font>
      <u/>
      <sz val="10"/>
      <name val="Arial"/>
      <family val="2"/>
    </font>
    <font>
      <b/>
      <sz val="11"/>
      <name val="Calibri"/>
      <family val="2"/>
      <scheme val="minor"/>
    </font>
    <font>
      <b/>
      <sz val="9"/>
      <name val="Calibri"/>
      <family val="2"/>
      <scheme val="minor"/>
    </font>
    <font>
      <sz val="11"/>
      <name val="Calibri"/>
      <family val="2"/>
      <scheme val="minor"/>
    </font>
    <font>
      <b/>
      <sz val="10"/>
      <color theme="0"/>
      <name val="Arial"/>
      <family val="2"/>
    </font>
    <font>
      <b/>
      <u/>
      <sz val="10"/>
      <name val="Arial"/>
      <family val="2"/>
    </font>
  </fonts>
  <fills count="28">
    <fill>
      <patternFill patternType="none"/>
    </fill>
    <fill>
      <patternFill patternType="gray125"/>
    </fill>
    <fill>
      <patternFill patternType="solid">
        <fgColor indexed="56"/>
        <bgColor indexed="64"/>
      </patternFill>
    </fill>
    <fill>
      <patternFill patternType="solid">
        <fgColor indexed="22"/>
        <bgColor indexed="64"/>
      </patternFill>
    </fill>
    <fill>
      <patternFill patternType="solid">
        <fgColor rgb="FFFFFF00"/>
        <bgColor indexed="64"/>
      </patternFill>
    </fill>
    <fill>
      <patternFill patternType="solid">
        <fgColor theme="9"/>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3" tint="0.59999389629810485"/>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5" tint="-0.499984740745262"/>
        <bgColor indexed="64"/>
      </patternFill>
    </fill>
    <fill>
      <patternFill patternType="solid">
        <fgColor theme="5" tint="-0.249977111117893"/>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theme="7" tint="-0.249977111117893"/>
        <bgColor indexed="64"/>
      </patternFill>
    </fill>
    <fill>
      <patternFill patternType="solid">
        <fgColor theme="6" tint="-0.249977111117893"/>
        <bgColor indexed="64"/>
      </patternFill>
    </fill>
    <fill>
      <patternFill patternType="solid">
        <fgColor theme="3" tint="0.39997558519241921"/>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0" tint="-0.49998474074526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right/>
      <top/>
      <bottom style="medium">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6">
    <xf numFmtId="0" fontId="0" fillId="0" borderId="0"/>
    <xf numFmtId="0" fontId="3" fillId="0" borderId="0"/>
    <xf numFmtId="0" fontId="15" fillId="0" borderId="0"/>
    <xf numFmtId="0" fontId="2" fillId="0" borderId="0"/>
    <xf numFmtId="0" fontId="19" fillId="0" borderId="0" applyNumberFormat="0" applyFill="0" applyBorder="0" applyAlignment="0" applyProtection="0">
      <alignment vertical="top"/>
      <protection locked="0"/>
    </xf>
    <xf numFmtId="9" fontId="21" fillId="0" borderId="0" applyFont="0" applyFill="0" applyBorder="0" applyAlignment="0" applyProtection="0"/>
  </cellStyleXfs>
  <cellXfs count="820">
    <xf numFmtId="0" fontId="0" fillId="0" borderId="0" xfId="0"/>
    <xf numFmtId="0" fontId="5" fillId="0" borderId="0" xfId="0" applyFont="1" applyAlignment="1">
      <alignment horizontal="center"/>
    </xf>
    <xf numFmtId="0" fontId="5" fillId="0" borderId="0" xfId="0" applyFont="1"/>
    <xf numFmtId="0" fontId="0" fillId="0" borderId="1" xfId="0" applyBorder="1" applyAlignment="1">
      <alignment horizontal="center"/>
    </xf>
    <xf numFmtId="0" fontId="0" fillId="0" borderId="0" xfId="0" applyAlignment="1">
      <alignment horizontal="center"/>
    </xf>
    <xf numFmtId="0" fontId="0" fillId="2" borderId="0" xfId="0" applyFill="1"/>
    <xf numFmtId="0" fontId="0" fillId="0" borderId="2" xfId="0" applyBorder="1"/>
    <xf numFmtId="0" fontId="0" fillId="0" borderId="4" xfId="0" applyBorder="1"/>
    <xf numFmtId="0" fontId="0" fillId="0" borderId="5" xfId="0" applyBorder="1"/>
    <xf numFmtId="0" fontId="0" fillId="0" borderId="6" xfId="0" applyBorder="1"/>
    <xf numFmtId="0" fontId="0" fillId="0" borderId="1" xfId="0" applyBorder="1"/>
    <xf numFmtId="164" fontId="0" fillId="0" borderId="1" xfId="0" applyNumberFormat="1" applyBorder="1" applyAlignment="1">
      <alignment horizontal="center"/>
    </xf>
    <xf numFmtId="0" fontId="0" fillId="0" borderId="0" xfId="0" applyFill="1"/>
    <xf numFmtId="0" fontId="6" fillId="0" borderId="0" xfId="0" applyFont="1"/>
    <xf numFmtId="0" fontId="0" fillId="0" borderId="0" xfId="0" applyFill="1" applyBorder="1" applyAlignment="1">
      <alignment horizontal="center"/>
    </xf>
    <xf numFmtId="0" fontId="0" fillId="0" borderId="0" xfId="0" applyFill="1" applyBorder="1"/>
    <xf numFmtId="0" fontId="0" fillId="0" borderId="0" xfId="0" applyBorder="1"/>
    <xf numFmtId="0" fontId="3" fillId="0" borderId="0" xfId="0" applyFont="1" applyFill="1"/>
    <xf numFmtId="0" fontId="3" fillId="0" borderId="0" xfId="0" applyFont="1"/>
    <xf numFmtId="0" fontId="0" fillId="0" borderId="2" xfId="0" applyBorder="1" applyAlignment="1">
      <alignment horizontal="center"/>
    </xf>
    <xf numFmtId="0" fontId="0" fillId="0" borderId="4" xfId="0" applyBorder="1" applyAlignment="1">
      <alignment horizontal="center"/>
    </xf>
    <xf numFmtId="0" fontId="0" fillId="0" borderId="0" xfId="0" applyBorder="1" applyAlignment="1">
      <alignment horizontal="center"/>
    </xf>
    <xf numFmtId="0" fontId="0" fillId="0" borderId="6" xfId="0" applyFill="1" applyBorder="1" applyAlignment="1">
      <alignment horizontal="center"/>
    </xf>
    <xf numFmtId="0" fontId="0" fillId="0" borderId="8" xfId="0" applyBorder="1"/>
    <xf numFmtId="0" fontId="7" fillId="0" borderId="0" xfId="0" applyFont="1" applyAlignment="1">
      <alignment horizontal="center" wrapText="1"/>
    </xf>
    <xf numFmtId="0" fontId="7" fillId="0" borderId="14" xfId="0" applyFont="1" applyBorder="1" applyAlignment="1">
      <alignment horizontal="center" wrapText="1"/>
    </xf>
    <xf numFmtId="0" fontId="7" fillId="0" borderId="0" xfId="0" applyFont="1" applyAlignment="1">
      <alignment wrapText="1"/>
    </xf>
    <xf numFmtId="0" fontId="8" fillId="0" borderId="0" xfId="0" applyFont="1" applyAlignment="1">
      <alignment horizontal="center" wrapText="1"/>
    </xf>
    <xf numFmtId="0" fontId="8" fillId="0" borderId="14" xfId="0" applyFont="1" applyBorder="1" applyAlignment="1">
      <alignment horizontal="center" wrapText="1"/>
    </xf>
    <xf numFmtId="0" fontId="8" fillId="0" borderId="0" xfId="0" applyFont="1" applyAlignment="1">
      <alignment wrapText="1"/>
    </xf>
    <xf numFmtId="0" fontId="7" fillId="0" borderId="0" xfId="0" applyFont="1" applyBorder="1" applyAlignment="1">
      <alignment horizontal="center" wrapText="1"/>
    </xf>
    <xf numFmtId="0" fontId="8" fillId="0" borderId="0" xfId="0" applyFont="1" applyBorder="1" applyAlignment="1">
      <alignment horizontal="center" wrapText="1"/>
    </xf>
    <xf numFmtId="0" fontId="7" fillId="0" borderId="0" xfId="0" applyFont="1" applyBorder="1" applyAlignment="1">
      <alignment horizontal="right" wrapText="1"/>
    </xf>
    <xf numFmtId="0" fontId="8" fillId="0" borderId="0" xfId="0" applyFont="1" applyBorder="1" applyAlignment="1">
      <alignment horizontal="right" wrapText="1"/>
    </xf>
    <xf numFmtId="0" fontId="0" fillId="0" borderId="18" xfId="0" applyBorder="1"/>
    <xf numFmtId="0" fontId="0" fillId="0" borderId="19" xfId="0" applyBorder="1"/>
    <xf numFmtId="0" fontId="0" fillId="0" borderId="20" xfId="0" applyFill="1" applyBorder="1"/>
    <xf numFmtId="0" fontId="0" fillId="3" borderId="0" xfId="0" applyFill="1" applyAlignment="1">
      <alignment horizontal="center"/>
    </xf>
    <xf numFmtId="0" fontId="0" fillId="3" borderId="20" xfId="0" applyFill="1" applyBorder="1" applyAlignment="1">
      <alignment horizontal="center"/>
    </xf>
    <xf numFmtId="0" fontId="5" fillId="0" borderId="1" xfId="0" applyFont="1" applyBorder="1" applyAlignment="1">
      <alignment horizontal="center"/>
    </xf>
    <xf numFmtId="0" fontId="5" fillId="0" borderId="1" xfId="0" applyFont="1" applyBorder="1"/>
    <xf numFmtId="0" fontId="5" fillId="0" borderId="0" xfId="0" applyFont="1" applyBorder="1" applyAlignment="1">
      <alignment horizontal="center"/>
    </xf>
    <xf numFmtId="1" fontId="0" fillId="0" borderId="17" xfId="0" applyNumberFormat="1" applyBorder="1" applyAlignment="1">
      <alignment horizontal="center"/>
    </xf>
    <xf numFmtId="3" fontId="0" fillId="0" borderId="5" xfId="0" applyNumberFormat="1" applyBorder="1" applyAlignment="1">
      <alignment horizontal="center"/>
    </xf>
    <xf numFmtId="1" fontId="0" fillId="0" borderId="18" xfId="0" applyNumberFormat="1" applyBorder="1" applyAlignment="1">
      <alignment horizontal="center"/>
    </xf>
    <xf numFmtId="1" fontId="0" fillId="0" borderId="19" xfId="0" applyNumberFormat="1" applyBorder="1" applyAlignment="1">
      <alignment horizontal="center"/>
    </xf>
    <xf numFmtId="3" fontId="0" fillId="0" borderId="7" xfId="0" applyNumberFormat="1" applyBorder="1" applyAlignment="1">
      <alignment horizontal="center"/>
    </xf>
    <xf numFmtId="3" fontId="0" fillId="0" borderId="17" xfId="0" applyNumberFormat="1" applyBorder="1" applyAlignment="1">
      <alignment horizontal="center"/>
    </xf>
    <xf numFmtId="164" fontId="0" fillId="0" borderId="0" xfId="0" applyNumberFormat="1"/>
    <xf numFmtId="0" fontId="9" fillId="0" borderId="4" xfId="0" applyFont="1" applyFill="1" applyBorder="1" applyAlignment="1">
      <alignment horizontal="left"/>
    </xf>
    <xf numFmtId="0" fontId="9" fillId="0" borderId="0" xfId="0" applyFont="1"/>
    <xf numFmtId="0" fontId="8" fillId="0" borderId="0" xfId="0" applyFont="1" applyBorder="1" applyAlignment="1">
      <alignment wrapText="1"/>
    </xf>
    <xf numFmtId="0" fontId="7" fillId="0" borderId="0" xfId="0" applyFont="1" applyBorder="1" applyAlignment="1">
      <alignment wrapText="1"/>
    </xf>
    <xf numFmtId="0" fontId="3" fillId="0" borderId="0" xfId="0" applyFont="1" applyBorder="1"/>
    <xf numFmtId="0" fontId="0" fillId="0" borderId="0" xfId="0" applyAlignment="1">
      <alignment horizontal="right"/>
    </xf>
    <xf numFmtId="0" fontId="0" fillId="0" borderId="5" xfId="0" applyBorder="1" applyAlignment="1">
      <alignment horizontal="center"/>
    </xf>
    <xf numFmtId="0" fontId="5" fillId="0" borderId="0" xfId="0" applyFont="1" applyAlignment="1">
      <alignment horizontal="left"/>
    </xf>
    <xf numFmtId="0" fontId="9" fillId="0" borderId="0" xfId="0" applyFont="1" applyAlignment="1">
      <alignment horizontal="left"/>
    </xf>
    <xf numFmtId="0" fontId="0" fillId="0" borderId="3" xfId="0" applyBorder="1" applyAlignment="1">
      <alignment horizontal="center"/>
    </xf>
    <xf numFmtId="0" fontId="0" fillId="0" borderId="7" xfId="0" applyBorder="1" applyAlignment="1">
      <alignment horizontal="center"/>
    </xf>
    <xf numFmtId="0" fontId="9" fillId="0" borderId="2" xfId="0" applyFont="1" applyBorder="1" applyAlignment="1">
      <alignment horizontal="center"/>
    </xf>
    <xf numFmtId="0" fontId="9" fillId="0" borderId="4" xfId="0" applyFont="1" applyBorder="1" applyAlignment="1">
      <alignment horizontal="center"/>
    </xf>
    <xf numFmtId="0" fontId="9" fillId="0" borderId="6" xfId="0" applyFont="1" applyFill="1" applyBorder="1" applyAlignment="1">
      <alignment horizontal="center"/>
    </xf>
    <xf numFmtId="0" fontId="0" fillId="0" borderId="4" xfId="0" applyFill="1" applyBorder="1" applyAlignment="1">
      <alignment horizontal="center"/>
    </xf>
    <xf numFmtId="0" fontId="0" fillId="0" borderId="5" xfId="0" applyFill="1" applyBorder="1" applyAlignment="1">
      <alignment horizontal="center"/>
    </xf>
    <xf numFmtId="0" fontId="0" fillId="0" borderId="7" xfId="0" applyFill="1" applyBorder="1" applyAlignment="1">
      <alignment horizontal="center"/>
    </xf>
    <xf numFmtId="3" fontId="0" fillId="0" borderId="1" xfId="0" applyNumberFormat="1" applyBorder="1" applyAlignment="1">
      <alignment horizontal="center"/>
    </xf>
    <xf numFmtId="0" fontId="0" fillId="0" borderId="17" xfId="0" applyBorder="1" applyAlignment="1">
      <alignment horizontal="center"/>
    </xf>
    <xf numFmtId="3" fontId="0" fillId="0" borderId="3" xfId="0" applyNumberFormat="1"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3" fontId="0" fillId="0" borderId="0" xfId="0" applyNumberFormat="1" applyBorder="1" applyAlignment="1">
      <alignment horizontal="center"/>
    </xf>
    <xf numFmtId="0" fontId="0" fillId="0" borderId="6" xfId="0" applyBorder="1" applyAlignment="1">
      <alignment horizontal="center"/>
    </xf>
    <xf numFmtId="0" fontId="3" fillId="0" borderId="0" xfId="0" applyFont="1" applyAlignment="1">
      <alignment horizontal="center"/>
    </xf>
    <xf numFmtId="0" fontId="3" fillId="0" borderId="13" xfId="0" applyFont="1" applyBorder="1" applyAlignment="1">
      <alignment horizontal="center"/>
    </xf>
    <xf numFmtId="0" fontId="10" fillId="0" borderId="9" xfId="0" applyFont="1" applyBorder="1" applyAlignment="1">
      <alignment horizontal="center" wrapText="1"/>
    </xf>
    <xf numFmtId="0" fontId="3" fillId="0" borderId="10" xfId="0" applyFont="1" applyBorder="1" applyAlignment="1">
      <alignment horizontal="center" wrapText="1"/>
    </xf>
    <xf numFmtId="0" fontId="3" fillId="0" borderId="11" xfId="0" applyFont="1" applyBorder="1" applyAlignment="1">
      <alignment horizontal="center" wrapText="1"/>
    </xf>
    <xf numFmtId="0" fontId="10" fillId="0" borderId="11" xfId="0" applyFont="1" applyBorder="1" applyAlignment="1">
      <alignment horizontal="center" wrapText="1"/>
    </xf>
    <xf numFmtId="0" fontId="3" fillId="0" borderId="10" xfId="0" applyFont="1" applyBorder="1" applyAlignment="1">
      <alignment horizontal="center"/>
    </xf>
    <xf numFmtId="0" fontId="3" fillId="0" borderId="0" xfId="0" applyFont="1" applyBorder="1" applyAlignment="1">
      <alignment horizontal="center"/>
    </xf>
    <xf numFmtId="0" fontId="11" fillId="0" borderId="14" xfId="0" applyFont="1" applyBorder="1" applyAlignment="1">
      <alignment horizontal="center" wrapText="1"/>
    </xf>
    <xf numFmtId="0" fontId="11" fillId="0" borderId="12" xfId="0" applyFont="1" applyBorder="1" applyAlignment="1">
      <alignment horizontal="center" wrapText="1"/>
    </xf>
    <xf numFmtId="0" fontId="12" fillId="0" borderId="0" xfId="0" applyFont="1" applyFill="1" applyBorder="1" applyAlignment="1">
      <alignment horizontal="center" wrapText="1"/>
    </xf>
    <xf numFmtId="0" fontId="12" fillId="0" borderId="0" xfId="0" applyFont="1" applyFill="1" applyAlignment="1">
      <alignment horizontal="center" wrapText="1"/>
    </xf>
    <xf numFmtId="0" fontId="12" fillId="0" borderId="12" xfId="0" applyFont="1" applyFill="1" applyBorder="1" applyAlignment="1">
      <alignment horizontal="center" wrapText="1"/>
    </xf>
    <xf numFmtId="0" fontId="11" fillId="0" borderId="16" xfId="0" applyFont="1" applyBorder="1" applyAlignment="1">
      <alignment horizontal="center" wrapText="1"/>
    </xf>
    <xf numFmtId="0" fontId="11" fillId="0" borderId="15" xfId="0" applyFont="1" applyBorder="1" applyAlignment="1">
      <alignment horizontal="center" wrapText="1"/>
    </xf>
    <xf numFmtId="0" fontId="12" fillId="0" borderId="16" xfId="0" applyFont="1" applyFill="1" applyBorder="1" applyAlignment="1">
      <alignment horizontal="center" wrapText="1"/>
    </xf>
    <xf numFmtId="0" fontId="12" fillId="0" borderId="13" xfId="0" applyFont="1" applyFill="1" applyBorder="1" applyAlignment="1">
      <alignment horizontal="center" wrapText="1"/>
    </xf>
    <xf numFmtId="0" fontId="12" fillId="0" borderId="15" xfId="0" applyFont="1" applyFill="1" applyBorder="1" applyAlignment="1">
      <alignment horizontal="center" wrapText="1"/>
    </xf>
    <xf numFmtId="0" fontId="12" fillId="0" borderId="14" xfId="0" applyFont="1" applyBorder="1" applyAlignment="1">
      <alignment horizontal="center" wrapText="1"/>
    </xf>
    <xf numFmtId="0" fontId="12" fillId="0" borderId="10" xfId="0" applyFont="1" applyBorder="1" applyAlignment="1">
      <alignment horizontal="center" wrapText="1"/>
    </xf>
    <xf numFmtId="0" fontId="10" fillId="0" borderId="0" xfId="0" applyFont="1" applyBorder="1" applyAlignment="1">
      <alignment horizontal="center" wrapText="1"/>
    </xf>
    <xf numFmtId="0" fontId="10" fillId="0" borderId="12" xfId="0" applyFont="1" applyBorder="1" applyAlignment="1">
      <alignment horizontal="center" wrapText="1"/>
    </xf>
    <xf numFmtId="0" fontId="12" fillId="0" borderId="12" xfId="0" applyFont="1" applyBorder="1" applyAlignment="1">
      <alignment horizontal="center" wrapText="1"/>
    </xf>
    <xf numFmtId="0" fontId="13" fillId="0" borderId="14" xfId="0" applyFont="1" applyBorder="1" applyAlignment="1">
      <alignment horizontal="center" wrapText="1"/>
    </xf>
    <xf numFmtId="0" fontId="13" fillId="0" borderId="12" xfId="0" applyFont="1" applyBorder="1" applyAlignment="1">
      <alignment horizontal="center" wrapText="1"/>
    </xf>
    <xf numFmtId="0" fontId="14" fillId="0" borderId="0" xfId="0" applyFont="1" applyBorder="1" applyAlignment="1">
      <alignment horizontal="center" wrapText="1"/>
    </xf>
    <xf numFmtId="0" fontId="13" fillId="0" borderId="14" xfId="0" applyFont="1" applyFill="1" applyBorder="1" applyAlignment="1">
      <alignment horizontal="center" wrapText="1"/>
    </xf>
    <xf numFmtId="0" fontId="12" fillId="0" borderId="16" xfId="0" applyFont="1" applyBorder="1" applyAlignment="1">
      <alignment horizontal="center" wrapText="1"/>
    </xf>
    <xf numFmtId="0" fontId="12" fillId="0" borderId="15" xfId="0" applyFont="1" applyBorder="1" applyAlignment="1">
      <alignment horizontal="center" wrapText="1"/>
    </xf>
    <xf numFmtId="0" fontId="10" fillId="0" borderId="13" xfId="0" applyFont="1" applyBorder="1" applyAlignment="1">
      <alignment horizontal="center" wrapText="1"/>
    </xf>
    <xf numFmtId="0" fontId="10" fillId="0" borderId="15" xfId="0" applyFont="1" applyBorder="1" applyAlignment="1">
      <alignment horizontal="center" wrapText="1"/>
    </xf>
    <xf numFmtId="0" fontId="15" fillId="0" borderId="0" xfId="2" applyAlignment="1">
      <alignment horizontal="center"/>
    </xf>
    <xf numFmtId="0" fontId="15" fillId="0" borderId="0" xfId="2"/>
    <xf numFmtId="0" fontId="16" fillId="0" borderId="0" xfId="2" applyFont="1"/>
    <xf numFmtId="2" fontId="15" fillId="0" borderId="0" xfId="2" applyNumberFormat="1" applyAlignment="1">
      <alignment horizontal="center"/>
    </xf>
    <xf numFmtId="0" fontId="15" fillId="0" borderId="0" xfId="2" applyAlignment="1">
      <alignment horizontal="right"/>
    </xf>
    <xf numFmtId="0" fontId="15" fillId="0" borderId="0" xfId="2" applyAlignment="1">
      <alignment horizontal="left"/>
    </xf>
    <xf numFmtId="0" fontId="2" fillId="0" borderId="0" xfId="3"/>
    <xf numFmtId="0" fontId="2" fillId="0" borderId="0" xfId="3" applyFont="1" applyAlignment="1">
      <alignment horizontal="center"/>
    </xf>
    <xf numFmtId="0" fontId="17" fillId="0" borderId="0" xfId="3" applyFont="1" applyAlignment="1">
      <alignment horizontal="center"/>
    </xf>
    <xf numFmtId="0" fontId="2" fillId="0" borderId="0" xfId="3" applyAlignment="1">
      <alignment horizontal="right"/>
    </xf>
    <xf numFmtId="0" fontId="17" fillId="0" borderId="0" xfId="3" applyFont="1"/>
    <xf numFmtId="1" fontId="17" fillId="0" borderId="1" xfId="3" applyNumberFormat="1" applyFont="1" applyBorder="1" applyAlignment="1">
      <alignment horizontal="center"/>
    </xf>
    <xf numFmtId="1" fontId="17" fillId="0" borderId="1" xfId="3" quotePrefix="1" applyNumberFormat="1" applyFont="1" applyBorder="1" applyAlignment="1">
      <alignment horizontal="center"/>
    </xf>
    <xf numFmtId="1" fontId="2" fillId="0" borderId="19" xfId="3" applyNumberFormat="1" applyBorder="1" applyAlignment="1">
      <alignment horizontal="center"/>
    </xf>
    <xf numFmtId="1" fontId="2" fillId="0" borderId="19" xfId="3" applyNumberFormat="1" applyFont="1" applyBorder="1" applyAlignment="1">
      <alignment horizontal="center"/>
    </xf>
    <xf numFmtId="164" fontId="2" fillId="0" borderId="19" xfId="3" applyNumberFormat="1" applyBorder="1" applyAlignment="1">
      <alignment horizontal="center"/>
    </xf>
    <xf numFmtId="0" fontId="2" fillId="0" borderId="0" xfId="3" applyAlignment="1">
      <alignment horizontal="center"/>
    </xf>
    <xf numFmtId="1" fontId="2" fillId="0" borderId="18" xfId="3" applyNumberFormat="1" applyBorder="1" applyAlignment="1">
      <alignment horizontal="center"/>
    </xf>
    <xf numFmtId="1" fontId="2" fillId="0" borderId="18" xfId="3" applyNumberFormat="1" applyFont="1" applyBorder="1" applyAlignment="1">
      <alignment horizontal="center"/>
    </xf>
    <xf numFmtId="164" fontId="2" fillId="0" borderId="18" xfId="3" applyNumberFormat="1" applyBorder="1" applyAlignment="1">
      <alignment horizontal="center"/>
    </xf>
    <xf numFmtId="0" fontId="18" fillId="0" borderId="1" xfId="3" applyFont="1" applyBorder="1" applyAlignment="1">
      <alignment horizontal="center"/>
    </xf>
    <xf numFmtId="0" fontId="17" fillId="0" borderId="0" xfId="3" applyFont="1" applyAlignment="1">
      <alignment horizontal="left"/>
    </xf>
    <xf numFmtId="2" fontId="2" fillId="0" borderId="19" xfId="3" applyNumberFormat="1" applyBorder="1" applyAlignment="1">
      <alignment horizontal="center"/>
    </xf>
    <xf numFmtId="0" fontId="2" fillId="0" borderId="19" xfId="3" applyBorder="1" applyAlignment="1">
      <alignment horizontal="center"/>
    </xf>
    <xf numFmtId="2" fontId="2" fillId="0" borderId="18" xfId="3" applyNumberFormat="1" applyBorder="1" applyAlignment="1">
      <alignment horizontal="center"/>
    </xf>
    <xf numFmtId="0" fontId="2" fillId="0" borderId="18" xfId="3" applyBorder="1" applyAlignment="1">
      <alignment horizontal="center"/>
    </xf>
    <xf numFmtId="1" fontId="2" fillId="0" borderId="0" xfId="3" applyNumberFormat="1"/>
    <xf numFmtId="164" fontId="2" fillId="0" borderId="17" xfId="3" applyNumberFormat="1" applyBorder="1" applyAlignment="1">
      <alignment horizontal="center"/>
    </xf>
    <xf numFmtId="1" fontId="2" fillId="0" borderId="17" xfId="3" applyNumberFormat="1" applyBorder="1" applyAlignment="1">
      <alignment horizontal="center"/>
    </xf>
    <xf numFmtId="2" fontId="2" fillId="0" borderId="17" xfId="3" applyNumberFormat="1" applyBorder="1" applyAlignment="1">
      <alignment horizontal="center"/>
    </xf>
    <xf numFmtId="0" fontId="2" fillId="0" borderId="17" xfId="3" applyBorder="1" applyAlignment="1">
      <alignment horizontal="center"/>
    </xf>
    <xf numFmtId="165" fontId="17" fillId="0" borderId="17" xfId="3" applyNumberFormat="1" applyFont="1" applyBorder="1" applyAlignment="1">
      <alignment horizontal="center"/>
    </xf>
    <xf numFmtId="0" fontId="17" fillId="0" borderId="17" xfId="3" applyFont="1" applyBorder="1" applyAlignment="1">
      <alignment horizontal="center"/>
    </xf>
    <xf numFmtId="0" fontId="2" fillId="0" borderId="0" xfId="3" applyFont="1" applyAlignment="1">
      <alignment horizontal="left"/>
    </xf>
    <xf numFmtId="0" fontId="2" fillId="0" borderId="0" xfId="3" applyAlignment="1">
      <alignment horizontal="left"/>
    </xf>
    <xf numFmtId="2" fontId="0" fillId="0" borderId="0" xfId="0" applyNumberFormat="1" applyAlignment="1">
      <alignment horizontal="center"/>
    </xf>
    <xf numFmtId="0" fontId="19" fillId="0" borderId="0" xfId="4" applyAlignment="1" applyProtection="1"/>
    <xf numFmtId="0" fontId="0" fillId="0" borderId="0" xfId="0" applyFill="1" applyAlignment="1">
      <alignment horizontal="center"/>
    </xf>
    <xf numFmtId="0" fontId="1" fillId="0" borderId="0" xfId="3" applyFont="1"/>
    <xf numFmtId="0" fontId="1" fillId="0" borderId="0" xfId="3" applyFont="1" applyAlignment="1">
      <alignment horizontal="center"/>
    </xf>
    <xf numFmtId="1" fontId="2" fillId="0" borderId="0" xfId="3" applyNumberFormat="1" applyFont="1" applyAlignment="1">
      <alignment horizontal="center"/>
    </xf>
    <xf numFmtId="0" fontId="0" fillId="0" borderId="9" xfId="0" applyBorder="1"/>
    <xf numFmtId="0" fontId="0" fillId="0" borderId="11" xfId="0" applyBorder="1"/>
    <xf numFmtId="0" fontId="0" fillId="0" borderId="14" xfId="0" applyBorder="1"/>
    <xf numFmtId="0" fontId="0" fillId="0" borderId="12" xfId="0" applyBorder="1"/>
    <xf numFmtId="0" fontId="0" fillId="0" borderId="13" xfId="0" applyBorder="1"/>
    <xf numFmtId="0" fontId="0" fillId="0" borderId="15" xfId="0" applyBorder="1"/>
    <xf numFmtId="0" fontId="5" fillId="0" borderId="11" xfId="0" applyFont="1" applyBorder="1"/>
    <xf numFmtId="0" fontId="5" fillId="0" borderId="16" xfId="0" applyFont="1" applyBorder="1" applyAlignment="1">
      <alignment horizontal="right"/>
    </xf>
    <xf numFmtId="0" fontId="0" fillId="0" borderId="20" xfId="0" applyBorder="1"/>
    <xf numFmtId="0" fontId="0" fillId="0" borderId="24" xfId="0" applyBorder="1"/>
    <xf numFmtId="0" fontId="5" fillId="0" borderId="22" xfId="0" applyFont="1" applyBorder="1"/>
    <xf numFmtId="0" fontId="20" fillId="0" borderId="0" xfId="0" applyFont="1"/>
    <xf numFmtId="2" fontId="0" fillId="0" borderId="0" xfId="0" applyNumberFormat="1"/>
    <xf numFmtId="0" fontId="3" fillId="0" borderId="0" xfId="0" applyFont="1" applyAlignment="1">
      <alignment horizontal="right"/>
    </xf>
    <xf numFmtId="0" fontId="5" fillId="0" borderId="0" xfId="0" applyFont="1" applyBorder="1" applyAlignment="1">
      <alignment horizontal="right"/>
    </xf>
    <xf numFmtId="0" fontId="0" fillId="0" borderId="0" xfId="0" applyBorder="1" applyAlignment="1">
      <alignment horizontal="right"/>
    </xf>
    <xf numFmtId="164" fontId="0" fillId="0" borderId="0" xfId="0" applyNumberFormat="1" applyBorder="1" applyAlignment="1">
      <alignment horizontal="right"/>
    </xf>
    <xf numFmtId="0" fontId="3" fillId="0" borderId="0" xfId="0" applyFont="1" applyBorder="1" applyAlignment="1">
      <alignment horizontal="right"/>
    </xf>
    <xf numFmtId="0" fontId="9" fillId="0" borderId="0" xfId="0" applyFont="1" applyFill="1" applyBorder="1" applyAlignment="1">
      <alignment horizontal="center"/>
    </xf>
    <xf numFmtId="2" fontId="2" fillId="0" borderId="0" xfId="3" applyNumberFormat="1" applyAlignment="1">
      <alignment horizontal="center"/>
    </xf>
    <xf numFmtId="1" fontId="2" fillId="0" borderId="0" xfId="3" applyNumberFormat="1" applyBorder="1" applyAlignment="1">
      <alignment horizontal="center"/>
    </xf>
    <xf numFmtId="0" fontId="5" fillId="0" borderId="0" xfId="0" applyFont="1" applyFill="1" applyBorder="1"/>
    <xf numFmtId="2" fontId="3" fillId="0" borderId="0" xfId="0" applyNumberFormat="1" applyFont="1"/>
    <xf numFmtId="2" fontId="5" fillId="0" borderId="0" xfId="0" applyNumberFormat="1" applyFont="1"/>
    <xf numFmtId="0" fontId="5" fillId="5" borderId="0" xfId="0" applyFont="1" applyFill="1"/>
    <xf numFmtId="0" fontId="0" fillId="5" borderId="0" xfId="0" applyFill="1"/>
    <xf numFmtId="164" fontId="5" fillId="0" borderId="0" xfId="0" applyNumberFormat="1" applyFont="1"/>
    <xf numFmtId="0" fontId="0" fillId="0" borderId="0" xfId="0" applyFont="1" applyFill="1" applyBorder="1" applyAlignment="1">
      <alignment horizontal="center"/>
    </xf>
    <xf numFmtId="0" fontId="5" fillId="0" borderId="0" xfId="0" applyFont="1" applyFill="1" applyBorder="1" applyAlignment="1">
      <alignment horizontal="center"/>
    </xf>
    <xf numFmtId="0" fontId="3" fillId="0" borderId="0" xfId="0" applyFont="1" applyFill="1" applyBorder="1"/>
    <xf numFmtId="3" fontId="0" fillId="0" borderId="0" xfId="0" applyNumberFormat="1"/>
    <xf numFmtId="0" fontId="5" fillId="0" borderId="0" xfId="1" applyFont="1" applyFill="1" applyBorder="1"/>
    <xf numFmtId="0" fontId="3" fillId="0" borderId="0" xfId="1" applyFill="1" applyBorder="1"/>
    <xf numFmtId="0" fontId="3" fillId="0" borderId="0" xfId="1" applyFill="1" applyBorder="1" applyAlignment="1">
      <alignment horizontal="center"/>
    </xf>
    <xf numFmtId="166" fontId="15" fillId="0" borderId="0" xfId="2" applyNumberFormat="1"/>
    <xf numFmtId="3" fontId="0" fillId="0" borderId="0" xfId="0" applyNumberFormat="1" applyBorder="1" applyAlignment="1">
      <alignment horizontal="right"/>
    </xf>
    <xf numFmtId="0" fontId="5" fillId="0" borderId="0" xfId="0" quotePrefix="1" applyFont="1" applyBorder="1" applyAlignment="1">
      <alignment horizontal="right"/>
    </xf>
    <xf numFmtId="0" fontId="0" fillId="0" borderId="3" xfId="0" applyBorder="1"/>
    <xf numFmtId="0" fontId="5" fillId="0" borderId="8" xfId="0" applyFont="1" applyBorder="1"/>
    <xf numFmtId="0" fontId="5" fillId="0" borderId="25" xfId="0" applyFont="1" applyBorder="1"/>
    <xf numFmtId="0" fontId="0" fillId="0" borderId="25" xfId="0" applyBorder="1"/>
    <xf numFmtId="0" fontId="5" fillId="6" borderId="8" xfId="0" applyFont="1" applyFill="1" applyBorder="1"/>
    <xf numFmtId="0" fontId="0" fillId="6" borderId="8" xfId="0" applyFill="1" applyBorder="1"/>
    <xf numFmtId="0" fontId="0" fillId="6" borderId="0" xfId="0" applyFill="1" applyBorder="1"/>
    <xf numFmtId="0" fontId="0" fillId="6" borderId="20" xfId="0" applyFill="1" applyBorder="1"/>
    <xf numFmtId="0" fontId="5" fillId="6" borderId="13" xfId="0" applyFont="1" applyFill="1" applyBorder="1" applyAlignment="1">
      <alignment horizontal="right"/>
    </xf>
    <xf numFmtId="0" fontId="0" fillId="6" borderId="13" xfId="0" applyFill="1" applyBorder="1"/>
    <xf numFmtId="0" fontId="0" fillId="4" borderId="13" xfId="0" applyFill="1" applyBorder="1"/>
    <xf numFmtId="0" fontId="5" fillId="0" borderId="29" xfId="0" applyFont="1" applyBorder="1" applyAlignment="1">
      <alignment horizontal="right"/>
    </xf>
    <xf numFmtId="0" fontId="3" fillId="4" borderId="0" xfId="0" applyFont="1" applyFill="1"/>
    <xf numFmtId="0" fontId="0" fillId="0" borderId="16" xfId="0" applyBorder="1"/>
    <xf numFmtId="0" fontId="5" fillId="0" borderId="27" xfId="0" applyFont="1" applyBorder="1" applyAlignment="1">
      <alignment horizontal="right"/>
    </xf>
    <xf numFmtId="0" fontId="5" fillId="0" borderId="14" xfId="0" applyFont="1" applyBorder="1" applyAlignment="1">
      <alignment horizontal="right"/>
    </xf>
    <xf numFmtId="0" fontId="0" fillId="0" borderId="14" xfId="0" applyBorder="1" applyAlignment="1">
      <alignment horizontal="right"/>
    </xf>
    <xf numFmtId="0" fontId="0" fillId="0" borderId="16" xfId="0" applyBorder="1" applyAlignment="1">
      <alignment horizontal="right"/>
    </xf>
    <xf numFmtId="164" fontId="0" fillId="0" borderId="13" xfId="0" applyNumberFormat="1" applyBorder="1" applyAlignment="1">
      <alignment horizontal="right"/>
    </xf>
    <xf numFmtId="0" fontId="0" fillId="0" borderId="13" xfId="0" applyBorder="1" applyAlignment="1">
      <alignment horizontal="right"/>
    </xf>
    <xf numFmtId="0" fontId="3" fillId="0" borderId="13" xfId="0" applyFont="1" applyBorder="1" applyAlignment="1">
      <alignment horizontal="right"/>
    </xf>
    <xf numFmtId="0" fontId="5" fillId="0" borderId="30" xfId="0" applyFont="1" applyFill="1" applyBorder="1" applyAlignment="1">
      <alignment horizontal="right"/>
    </xf>
    <xf numFmtId="3" fontId="0" fillId="0" borderId="0" xfId="0" applyNumberFormat="1" applyBorder="1"/>
    <xf numFmtId="3" fontId="0" fillId="0" borderId="20" xfId="0" applyNumberFormat="1" applyBorder="1"/>
    <xf numFmtId="3" fontId="0" fillId="0" borderId="8" xfId="0" applyNumberFormat="1" applyBorder="1"/>
    <xf numFmtId="0" fontId="0" fillId="5" borderId="5" xfId="0" applyFill="1" applyBorder="1"/>
    <xf numFmtId="0" fontId="3" fillId="0" borderId="0" xfId="0" applyFont="1" applyFill="1" applyAlignment="1">
      <alignment horizontal="right"/>
    </xf>
    <xf numFmtId="0" fontId="0" fillId="0" borderId="0" xfId="0" applyFill="1" applyAlignment="1"/>
    <xf numFmtId="0" fontId="0" fillId="0" borderId="4" xfId="0" applyFill="1" applyBorder="1"/>
    <xf numFmtId="0" fontId="5" fillId="0" borderId="1" xfId="0" applyFont="1" applyFill="1" applyBorder="1" applyAlignment="1">
      <alignment horizontal="center"/>
    </xf>
    <xf numFmtId="0" fontId="3" fillId="0" borderId="0" xfId="0" applyFont="1" applyFill="1" applyAlignment="1"/>
    <xf numFmtId="0" fontId="3" fillId="6" borderId="0" xfId="0" applyFont="1" applyFill="1" applyAlignment="1">
      <alignment horizontal="right"/>
    </xf>
    <xf numFmtId="164" fontId="5" fillId="0" borderId="0" xfId="0" applyNumberFormat="1" applyFont="1" applyAlignment="1">
      <alignment horizontal="right"/>
    </xf>
    <xf numFmtId="0" fontId="3" fillId="4" borderId="0" xfId="1" applyFont="1" applyFill="1" applyBorder="1"/>
    <xf numFmtId="0" fontId="3" fillId="4" borderId="0" xfId="0" applyFont="1" applyFill="1" applyBorder="1"/>
    <xf numFmtId="0" fontId="3" fillId="4" borderId="0" xfId="1" applyFill="1" applyBorder="1"/>
    <xf numFmtId="0" fontId="0" fillId="4" borderId="0" xfId="0" applyFill="1" applyBorder="1"/>
    <xf numFmtId="0" fontId="3" fillId="6" borderId="0" xfId="1" applyFill="1" applyBorder="1"/>
    <xf numFmtId="0" fontId="22" fillId="0" borderId="0" xfId="0" applyFont="1"/>
    <xf numFmtId="9" fontId="0" fillId="0" borderId="0" xfId="5" applyFont="1" applyAlignment="1">
      <alignment horizontal="left"/>
    </xf>
    <xf numFmtId="2" fontId="0" fillId="0" borderId="0" xfId="0" applyNumberFormat="1" applyFill="1" applyBorder="1"/>
    <xf numFmtId="0" fontId="0" fillId="0" borderId="10" xfId="0" applyBorder="1"/>
    <xf numFmtId="0" fontId="5" fillId="0" borderId="13" xfId="0" applyFont="1" applyBorder="1" applyAlignment="1">
      <alignment horizontal="right"/>
    </xf>
    <xf numFmtId="0" fontId="0" fillId="0" borderId="20" xfId="0" applyBorder="1" applyAlignment="1">
      <alignment horizontal="center"/>
    </xf>
    <xf numFmtId="3" fontId="0" fillId="0" borderId="20" xfId="0" applyNumberFormat="1" applyBorder="1" applyAlignment="1">
      <alignment horizontal="center"/>
    </xf>
    <xf numFmtId="0" fontId="0" fillId="0" borderId="8" xfId="0" applyBorder="1" applyAlignment="1">
      <alignment horizontal="center"/>
    </xf>
    <xf numFmtId="3" fontId="0" fillId="0" borderId="8" xfId="0" applyNumberFormat="1" applyBorder="1" applyAlignment="1">
      <alignment horizontal="center"/>
    </xf>
    <xf numFmtId="14" fontId="0" fillId="0" borderId="31" xfId="0" applyNumberFormat="1" applyBorder="1"/>
    <xf numFmtId="14" fontId="0" fillId="0" borderId="14" xfId="0" applyNumberFormat="1" applyBorder="1"/>
    <xf numFmtId="14" fontId="0" fillId="0" borderId="32" xfId="0" applyNumberFormat="1" applyBorder="1"/>
    <xf numFmtId="166" fontId="0" fillId="4" borderId="10" xfId="5" applyNumberFormat="1" applyFont="1" applyFill="1" applyBorder="1"/>
    <xf numFmtId="167" fontId="0" fillId="4" borderId="13" xfId="5" applyNumberFormat="1" applyFont="1" applyFill="1" applyBorder="1"/>
    <xf numFmtId="0" fontId="5" fillId="9" borderId="27" xfId="0" applyFont="1" applyFill="1" applyBorder="1" applyAlignment="1">
      <alignment horizontal="center"/>
    </xf>
    <xf numFmtId="0" fontId="5" fillId="9" borderId="28" xfId="0" applyFont="1" applyFill="1" applyBorder="1" applyAlignment="1">
      <alignment horizontal="center"/>
    </xf>
    <xf numFmtId="2" fontId="0" fillId="9" borderId="14" xfId="0" applyNumberFormat="1" applyFill="1" applyBorder="1"/>
    <xf numFmtId="2" fontId="0" fillId="9" borderId="5" xfId="0" applyNumberFormat="1" applyFill="1" applyBorder="1"/>
    <xf numFmtId="2" fontId="0" fillId="9" borderId="16" xfId="0" applyNumberFormat="1" applyFill="1" applyBorder="1"/>
    <xf numFmtId="2" fontId="0" fillId="9" borderId="26" xfId="0" applyNumberFormat="1" applyFill="1" applyBorder="1"/>
    <xf numFmtId="0" fontId="5" fillId="10" borderId="27" xfId="0" applyFont="1" applyFill="1" applyBorder="1"/>
    <xf numFmtId="0" fontId="0" fillId="10" borderId="0" xfId="0" applyFill="1"/>
    <xf numFmtId="0" fontId="3" fillId="9" borderId="1" xfId="0" applyFont="1" applyFill="1" applyBorder="1" applyAlignment="1">
      <alignment horizontal="right"/>
    </xf>
    <xf numFmtId="164" fontId="0" fillId="9" borderId="1" xfId="0" applyNumberFormat="1" applyFill="1" applyBorder="1"/>
    <xf numFmtId="0" fontId="3" fillId="10" borderId="1" xfId="0" applyFont="1" applyFill="1" applyBorder="1"/>
    <xf numFmtId="164" fontId="0" fillId="10" borderId="1" xfId="0" applyNumberFormat="1" applyFill="1" applyBorder="1"/>
    <xf numFmtId="0" fontId="0" fillId="0" borderId="0" xfId="0" applyAlignment="1">
      <alignment vertical="top" wrapText="1"/>
    </xf>
    <xf numFmtId="0" fontId="5" fillId="0" borderId="9" xfId="0" applyFont="1" applyBorder="1"/>
    <xf numFmtId="0" fontId="0" fillId="8" borderId="0" xfId="0" applyFill="1"/>
    <xf numFmtId="0" fontId="3" fillId="8" borderId="0" xfId="0" applyFont="1" applyFill="1"/>
    <xf numFmtId="0" fontId="0" fillId="11" borderId="0" xfId="0" applyFill="1"/>
    <xf numFmtId="0" fontId="3" fillId="11" borderId="0" xfId="0" applyFont="1" applyFill="1"/>
    <xf numFmtId="0" fontId="5" fillId="11" borderId="27" xfId="0" applyFont="1" applyFill="1" applyBorder="1" applyAlignment="1">
      <alignment horizontal="right"/>
    </xf>
    <xf numFmtId="0" fontId="5" fillId="11" borderId="29" xfId="0" applyFont="1" applyFill="1" applyBorder="1" applyAlignment="1">
      <alignment horizontal="right"/>
    </xf>
    <xf numFmtId="0" fontId="5" fillId="11" borderId="30" xfId="0" applyFont="1" applyFill="1" applyBorder="1" applyAlignment="1">
      <alignment horizontal="right"/>
    </xf>
    <xf numFmtId="0" fontId="0" fillId="11" borderId="14" xfId="0" applyFill="1" applyBorder="1"/>
    <xf numFmtId="164" fontId="0" fillId="11" borderId="0" xfId="0" applyNumberFormat="1" applyFill="1" applyBorder="1"/>
    <xf numFmtId="164" fontId="0" fillId="11" borderId="12" xfId="0" applyNumberFormat="1" applyFill="1" applyBorder="1"/>
    <xf numFmtId="0" fontId="0" fillId="11" borderId="0" xfId="0" applyFill="1" applyBorder="1"/>
    <xf numFmtId="0" fontId="0" fillId="11" borderId="16" xfId="0" applyFill="1" applyBorder="1"/>
    <xf numFmtId="0" fontId="0" fillId="11" borderId="13" xfId="0" applyFill="1" applyBorder="1"/>
    <xf numFmtId="164" fontId="0" fillId="11" borderId="15" xfId="0" applyNumberFormat="1" applyFill="1" applyBorder="1"/>
    <xf numFmtId="0" fontId="3" fillId="13" borderId="0" xfId="0" applyFont="1" applyFill="1"/>
    <xf numFmtId="0" fontId="0" fillId="13" borderId="0" xfId="0" applyFill="1"/>
    <xf numFmtId="0" fontId="5" fillId="13" borderId="0" xfId="0" applyFont="1" applyFill="1"/>
    <xf numFmtId="0" fontId="0" fillId="0" borderId="0" xfId="0" applyAlignment="1"/>
    <xf numFmtId="1" fontId="3" fillId="0" borderId="0" xfId="0" applyNumberFormat="1" applyFont="1" applyBorder="1" applyAlignment="1">
      <alignment horizontal="right"/>
    </xf>
    <xf numFmtId="1" fontId="0" fillId="0" borderId="12" xfId="0" applyNumberFormat="1" applyBorder="1"/>
    <xf numFmtId="1" fontId="3" fillId="0" borderId="13" xfId="0" applyNumberFormat="1" applyFont="1" applyBorder="1" applyAlignment="1">
      <alignment horizontal="right"/>
    </xf>
    <xf numFmtId="1" fontId="0" fillId="0" borderId="15" xfId="0" applyNumberFormat="1" applyBorder="1"/>
    <xf numFmtId="0" fontId="3" fillId="6" borderId="0" xfId="0" applyFont="1" applyFill="1" applyAlignment="1"/>
    <xf numFmtId="0" fontId="0" fillId="6" borderId="0" xfId="0" applyFill="1" applyAlignment="1"/>
    <xf numFmtId="0" fontId="3" fillId="6" borderId="0" xfId="0" applyFont="1" applyFill="1"/>
    <xf numFmtId="0" fontId="0" fillId="10" borderId="14" xfId="0" applyFill="1" applyBorder="1" applyAlignment="1">
      <alignment horizontal="right"/>
    </xf>
    <xf numFmtId="164" fontId="0" fillId="10" borderId="0" xfId="0" applyNumberFormat="1" applyFill="1" applyBorder="1" applyAlignment="1">
      <alignment horizontal="right"/>
    </xf>
    <xf numFmtId="0" fontId="0" fillId="10" borderId="0" xfId="0" applyFill="1" applyBorder="1" applyAlignment="1">
      <alignment horizontal="right"/>
    </xf>
    <xf numFmtId="0" fontId="3" fillId="10" borderId="0" xfId="0" applyFont="1" applyFill="1" applyBorder="1" applyAlignment="1">
      <alignment horizontal="right"/>
    </xf>
    <xf numFmtId="1" fontId="3" fillId="10" borderId="0" xfId="0" applyNumberFormat="1" applyFont="1" applyFill="1" applyBorder="1" applyAlignment="1">
      <alignment horizontal="right"/>
    </xf>
    <xf numFmtId="1" fontId="0" fillId="10" borderId="12" xfId="0" applyNumberFormat="1" applyFill="1" applyBorder="1"/>
    <xf numFmtId="0" fontId="0" fillId="12" borderId="14" xfId="0" applyFill="1" applyBorder="1" applyAlignment="1">
      <alignment horizontal="right"/>
    </xf>
    <xf numFmtId="164" fontId="0" fillId="12" borderId="0" xfId="0" applyNumberFormat="1" applyFill="1" applyBorder="1" applyAlignment="1">
      <alignment horizontal="right"/>
    </xf>
    <xf numFmtId="0" fontId="0" fillId="12" borderId="0" xfId="0" applyFill="1" applyBorder="1" applyAlignment="1">
      <alignment horizontal="right"/>
    </xf>
    <xf numFmtId="0" fontId="3" fillId="12" borderId="0" xfId="0" applyFont="1" applyFill="1" applyBorder="1" applyAlignment="1">
      <alignment horizontal="right"/>
    </xf>
    <xf numFmtId="1" fontId="3" fillId="12" borderId="0" xfId="0" applyNumberFormat="1" applyFont="1" applyFill="1" applyBorder="1" applyAlignment="1">
      <alignment horizontal="right"/>
    </xf>
    <xf numFmtId="1" fontId="0" fillId="12" borderId="12" xfId="0" applyNumberFormat="1" applyFill="1" applyBorder="1"/>
    <xf numFmtId="1" fontId="0" fillId="0" borderId="14" xfId="0" applyNumberFormat="1" applyBorder="1" applyAlignment="1">
      <alignment horizontal="right"/>
    </xf>
    <xf numFmtId="1" fontId="0" fillId="12" borderId="14" xfId="0" applyNumberFormat="1" applyFill="1" applyBorder="1" applyAlignment="1">
      <alignment horizontal="right"/>
    </xf>
    <xf numFmtId="1" fontId="0" fillId="10" borderId="14" xfId="0" applyNumberFormat="1" applyFill="1" applyBorder="1" applyAlignment="1">
      <alignment horizontal="right"/>
    </xf>
    <xf numFmtId="1" fontId="0" fillId="0" borderId="16" xfId="0" applyNumberFormat="1" applyBorder="1" applyAlignment="1">
      <alignment horizontal="right"/>
    </xf>
    <xf numFmtId="0" fontId="5" fillId="0" borderId="13" xfId="0" applyFont="1" applyBorder="1" applyAlignment="1"/>
    <xf numFmtId="2" fontId="0" fillId="0" borderId="12" xfId="0" applyNumberFormat="1" applyFill="1" applyBorder="1"/>
    <xf numFmtId="0" fontId="5" fillId="0" borderId="0" xfId="0" applyFont="1" applyBorder="1" applyAlignment="1"/>
    <xf numFmtId="2" fontId="3" fillId="0" borderId="0" xfId="0" applyNumberFormat="1" applyFont="1" applyFill="1" applyBorder="1" applyAlignment="1">
      <alignment horizontal="right"/>
    </xf>
    <xf numFmtId="0" fontId="5" fillId="0" borderId="4" xfId="0" applyFont="1" applyFill="1" applyBorder="1" applyAlignment="1">
      <alignment horizontal="right"/>
    </xf>
    <xf numFmtId="0" fontId="5" fillId="0" borderId="12" xfId="0" applyFont="1" applyFill="1" applyBorder="1" applyAlignment="1">
      <alignment horizontal="right"/>
    </xf>
    <xf numFmtId="2" fontId="0" fillId="0" borderId="4" xfId="0" applyNumberFormat="1" applyFill="1" applyBorder="1"/>
    <xf numFmtId="0" fontId="0" fillId="14" borderId="0" xfId="0" applyFill="1"/>
    <xf numFmtId="0" fontId="3" fillId="14" borderId="0" xfId="0" applyFont="1" applyFill="1"/>
    <xf numFmtId="0" fontId="0" fillId="15" borderId="0" xfId="0" applyFill="1"/>
    <xf numFmtId="0" fontId="3" fillId="15" borderId="0" xfId="0" applyFont="1" applyFill="1"/>
    <xf numFmtId="0" fontId="0" fillId="17" borderId="0" xfId="0" applyFill="1"/>
    <xf numFmtId="0" fontId="3" fillId="17" borderId="0" xfId="0" applyFont="1" applyFill="1"/>
    <xf numFmtId="0" fontId="0" fillId="18" borderId="0" xfId="0" applyFill="1"/>
    <xf numFmtId="0" fontId="3" fillId="18" borderId="0" xfId="0" applyFont="1" applyFill="1"/>
    <xf numFmtId="0" fontId="3" fillId="19" borderId="0" xfId="0" applyFont="1" applyFill="1"/>
    <xf numFmtId="0" fontId="0" fillId="19" borderId="0" xfId="0" applyFill="1"/>
    <xf numFmtId="0" fontId="3" fillId="20" borderId="0" xfId="0" applyFont="1" applyFill="1"/>
    <xf numFmtId="0" fontId="23" fillId="20" borderId="1" xfId="3" applyFont="1" applyFill="1" applyBorder="1" applyAlignment="1">
      <alignment horizontal="center"/>
    </xf>
    <xf numFmtId="0" fontId="24" fillId="20" borderId="1" xfId="3" applyFont="1" applyFill="1" applyBorder="1" applyAlignment="1">
      <alignment horizontal="center"/>
    </xf>
    <xf numFmtId="0" fontId="25" fillId="20" borderId="4" xfId="3" applyFont="1" applyFill="1" applyBorder="1" applyAlignment="1">
      <alignment horizontal="center"/>
    </xf>
    <xf numFmtId="164" fontId="25" fillId="20" borderId="18" xfId="3" applyNumberFormat="1" applyFont="1" applyFill="1" applyBorder="1" applyAlignment="1">
      <alignment horizontal="center"/>
    </xf>
    <xf numFmtId="2" fontId="25" fillId="20" borderId="18" xfId="3" applyNumberFormat="1" applyFont="1" applyFill="1" applyBorder="1" applyAlignment="1">
      <alignment horizontal="center"/>
    </xf>
    <xf numFmtId="0" fontId="25" fillId="20" borderId="6" xfId="3" applyFont="1" applyFill="1" applyBorder="1" applyAlignment="1">
      <alignment horizontal="center"/>
    </xf>
    <xf numFmtId="164" fontId="25" fillId="20" borderId="19" xfId="3" applyNumberFormat="1" applyFont="1" applyFill="1" applyBorder="1" applyAlignment="1">
      <alignment horizontal="center"/>
    </xf>
    <xf numFmtId="2" fontId="25" fillId="20" borderId="19" xfId="3" applyNumberFormat="1" applyFont="1" applyFill="1" applyBorder="1" applyAlignment="1">
      <alignment horizontal="center"/>
    </xf>
    <xf numFmtId="0" fontId="3" fillId="6" borderId="0" xfId="0" applyFont="1" applyFill="1" applyBorder="1" applyAlignment="1">
      <alignment horizontal="center"/>
    </xf>
    <xf numFmtId="0" fontId="3" fillId="6" borderId="3" xfId="0" applyFont="1" applyFill="1" applyBorder="1" applyAlignment="1">
      <alignment horizontal="center"/>
    </xf>
    <xf numFmtId="0" fontId="3" fillId="6" borderId="1" xfId="0" applyFont="1" applyFill="1" applyBorder="1" applyAlignment="1">
      <alignment horizontal="center"/>
    </xf>
    <xf numFmtId="0" fontId="3" fillId="6" borderId="21" xfId="0" applyFont="1" applyFill="1" applyBorder="1" applyAlignment="1">
      <alignment horizontal="center"/>
    </xf>
    <xf numFmtId="0" fontId="18" fillId="14" borderId="1" xfId="3" applyFont="1" applyFill="1" applyBorder="1" applyAlignment="1">
      <alignment horizontal="center"/>
    </xf>
    <xf numFmtId="164" fontId="0" fillId="14" borderId="0" xfId="0" applyNumberFormat="1" applyFill="1" applyBorder="1"/>
    <xf numFmtId="164" fontId="0" fillId="14" borderId="5" xfId="0" applyNumberFormat="1" applyFill="1" applyBorder="1"/>
    <xf numFmtId="164" fontId="0" fillId="14" borderId="20" xfId="0" applyNumberFormat="1" applyFill="1" applyBorder="1"/>
    <xf numFmtId="164" fontId="0" fillId="14" borderId="7" xfId="0" applyNumberFormat="1" applyFill="1" applyBorder="1"/>
    <xf numFmtId="0" fontId="17" fillId="20" borderId="1" xfId="3" applyFont="1" applyFill="1" applyBorder="1" applyAlignment="1">
      <alignment horizontal="center"/>
    </xf>
    <xf numFmtId="0" fontId="18" fillId="20" borderId="1" xfId="3" applyFont="1" applyFill="1" applyBorder="1" applyAlignment="1">
      <alignment horizontal="center"/>
    </xf>
    <xf numFmtId="0" fontId="2" fillId="20" borderId="4" xfId="3" applyFill="1" applyBorder="1" applyAlignment="1">
      <alignment horizontal="center"/>
    </xf>
    <xf numFmtId="164" fontId="2" fillId="20" borderId="18" xfId="3" applyNumberFormat="1" applyFill="1" applyBorder="1" applyAlignment="1">
      <alignment horizontal="center"/>
    </xf>
    <xf numFmtId="1" fontId="2" fillId="20" borderId="18" xfId="3" applyNumberFormat="1" applyFill="1" applyBorder="1" applyAlignment="1">
      <alignment horizontal="center"/>
    </xf>
    <xf numFmtId="0" fontId="2" fillId="20" borderId="6" xfId="3" applyFill="1" applyBorder="1" applyAlignment="1">
      <alignment horizontal="center"/>
    </xf>
    <xf numFmtId="164" fontId="2" fillId="20" borderId="19" xfId="3" applyNumberFormat="1" applyFill="1" applyBorder="1" applyAlignment="1">
      <alignment horizontal="center"/>
    </xf>
    <xf numFmtId="1" fontId="2" fillId="20" borderId="19" xfId="3" applyNumberFormat="1" applyFill="1" applyBorder="1" applyAlignment="1">
      <alignment horizontal="center"/>
    </xf>
    <xf numFmtId="0" fontId="0" fillId="14" borderId="0" xfId="0" applyFill="1" applyBorder="1"/>
    <xf numFmtId="0" fontId="0" fillId="14" borderId="5" xfId="0" applyFill="1" applyBorder="1"/>
    <xf numFmtId="0" fontId="0" fillId="14" borderId="20" xfId="0" applyFill="1" applyBorder="1"/>
    <xf numFmtId="0" fontId="0" fillId="14" borderId="7" xfId="0" applyFill="1" applyBorder="1"/>
    <xf numFmtId="2" fontId="0" fillId="14" borderId="0" xfId="0" applyNumberFormat="1" applyFill="1" applyBorder="1"/>
    <xf numFmtId="2" fontId="0" fillId="14" borderId="5" xfId="0" applyNumberFormat="1" applyFill="1" applyBorder="1"/>
    <xf numFmtId="2" fontId="0" fillId="14" borderId="20" xfId="0" applyNumberFormat="1" applyFill="1" applyBorder="1"/>
    <xf numFmtId="2" fontId="0" fillId="14" borderId="7" xfId="0" applyNumberFormat="1" applyFill="1" applyBorder="1"/>
    <xf numFmtId="0" fontId="17" fillId="14" borderId="1" xfId="3" applyFont="1" applyFill="1" applyBorder="1" applyAlignment="1">
      <alignment horizontal="center"/>
    </xf>
    <xf numFmtId="2" fontId="2" fillId="14" borderId="0" xfId="3" applyNumberFormat="1" applyFill="1" applyBorder="1" applyAlignment="1">
      <alignment horizontal="center"/>
    </xf>
    <xf numFmtId="2" fontId="2" fillId="14" borderId="20" xfId="3" applyNumberFormat="1" applyFill="1" applyBorder="1" applyAlignment="1">
      <alignment horizontal="center"/>
    </xf>
    <xf numFmtId="0" fontId="23" fillId="14" borderId="1" xfId="3" applyFont="1" applyFill="1" applyBorder="1" applyAlignment="1">
      <alignment horizontal="center"/>
    </xf>
    <xf numFmtId="2" fontId="25" fillId="14" borderId="0" xfId="3" applyNumberFormat="1" applyFont="1" applyFill="1" applyBorder="1" applyAlignment="1">
      <alignment horizontal="center"/>
    </xf>
    <xf numFmtId="2" fontId="25" fillId="14" borderId="20" xfId="3" applyNumberFormat="1" applyFont="1" applyFill="1" applyBorder="1" applyAlignment="1">
      <alignment horizontal="center"/>
    </xf>
    <xf numFmtId="0" fontId="5" fillId="20" borderId="0" xfId="0" applyFont="1" applyFill="1" applyAlignment="1">
      <alignment horizontal="left"/>
    </xf>
    <xf numFmtId="0" fontId="5" fillId="14" borderId="23" xfId="0" applyFont="1" applyFill="1" applyBorder="1"/>
    <xf numFmtId="0" fontId="5" fillId="14" borderId="22" xfId="0" applyFont="1" applyFill="1" applyBorder="1"/>
    <xf numFmtId="0" fontId="5" fillId="14" borderId="21" xfId="0" applyFont="1" applyFill="1" applyBorder="1"/>
    <xf numFmtId="0" fontId="5" fillId="14" borderId="4" xfId="0" applyFont="1" applyFill="1" applyBorder="1"/>
    <xf numFmtId="165" fontId="0" fillId="14" borderId="17" xfId="0" applyNumberFormat="1" applyFill="1" applyBorder="1"/>
    <xf numFmtId="165" fontId="0" fillId="14" borderId="18" xfId="0" applyNumberFormat="1" applyFill="1" applyBorder="1"/>
    <xf numFmtId="0" fontId="5" fillId="14" borderId="6" xfId="0" applyFont="1" applyFill="1" applyBorder="1"/>
    <xf numFmtId="165" fontId="0" fillId="14" borderId="19" xfId="0" applyNumberFormat="1" applyFill="1" applyBorder="1"/>
    <xf numFmtId="0" fontId="5" fillId="14" borderId="0" xfId="0" applyFont="1" applyFill="1" applyBorder="1" applyAlignment="1">
      <alignment horizontal="right"/>
    </xf>
    <xf numFmtId="2" fontId="0" fillId="14" borderId="0" xfId="0" applyNumberFormat="1" applyFill="1"/>
    <xf numFmtId="2" fontId="5" fillId="14" borderId="0" xfId="0" applyNumberFormat="1" applyFont="1" applyFill="1"/>
    <xf numFmtId="0" fontId="5" fillId="14" borderId="0" xfId="0" applyFont="1" applyFill="1"/>
    <xf numFmtId="0" fontId="5" fillId="14" borderId="2" xfId="0" applyFont="1" applyFill="1" applyBorder="1"/>
    <xf numFmtId="2" fontId="0" fillId="14" borderId="8" xfId="0" applyNumberFormat="1" applyFill="1" applyBorder="1"/>
    <xf numFmtId="0" fontId="0" fillId="14" borderId="8" xfId="0" applyFill="1" applyBorder="1"/>
    <xf numFmtId="0" fontId="0" fillId="14" borderId="3" xfId="0" applyFill="1" applyBorder="1"/>
    <xf numFmtId="2" fontId="0" fillId="14" borderId="22" xfId="0" applyNumberFormat="1" applyFill="1" applyBorder="1"/>
    <xf numFmtId="2" fontId="0" fillId="14" borderId="21" xfId="0" applyNumberFormat="1" applyFill="1" applyBorder="1"/>
    <xf numFmtId="0" fontId="0" fillId="21" borderId="0" xfId="0" applyFill="1"/>
    <xf numFmtId="0" fontId="3" fillId="21" borderId="0" xfId="0" applyFont="1" applyFill="1"/>
    <xf numFmtId="0" fontId="5" fillId="21" borderId="0" xfId="0" applyFont="1" applyFill="1"/>
    <xf numFmtId="2" fontId="3" fillId="21" borderId="0" xfId="0" applyNumberFormat="1" applyFont="1" applyFill="1"/>
    <xf numFmtId="169" fontId="3" fillId="21" borderId="0" xfId="0" applyNumberFormat="1" applyFont="1" applyFill="1"/>
    <xf numFmtId="0" fontId="5" fillId="19" borderId="0" xfId="0" applyFont="1" applyFill="1"/>
    <xf numFmtId="2" fontId="0" fillId="19" borderId="0" xfId="0" applyNumberFormat="1" applyFill="1"/>
    <xf numFmtId="2" fontId="5" fillId="19" borderId="0" xfId="0" applyNumberFormat="1" applyFont="1" applyFill="1"/>
    <xf numFmtId="0" fontId="5" fillId="19" borderId="23" xfId="0" applyFont="1" applyFill="1" applyBorder="1"/>
    <xf numFmtId="0" fontId="5" fillId="19" borderId="22" xfId="0" applyFont="1" applyFill="1" applyBorder="1"/>
    <xf numFmtId="0" fontId="3" fillId="19" borderId="21" xfId="0" applyFont="1" applyFill="1" applyBorder="1"/>
    <xf numFmtId="164" fontId="0" fillId="19" borderId="0" xfId="0" applyNumberFormat="1" applyFill="1" applyBorder="1"/>
    <xf numFmtId="0" fontId="0" fillId="19" borderId="5" xfId="0" applyFill="1" applyBorder="1"/>
    <xf numFmtId="0" fontId="0" fillId="19" borderId="0" xfId="0" applyFill="1" applyBorder="1"/>
    <xf numFmtId="164" fontId="0" fillId="19" borderId="20" xfId="0" applyNumberFormat="1" applyFill="1" applyBorder="1"/>
    <xf numFmtId="0" fontId="0" fillId="19" borderId="7" xfId="0" applyFill="1" applyBorder="1"/>
    <xf numFmtId="0" fontId="5" fillId="15" borderId="0" xfId="0" applyFont="1" applyFill="1"/>
    <xf numFmtId="2" fontId="0" fillId="15" borderId="0" xfId="0" applyNumberFormat="1" applyFill="1"/>
    <xf numFmtId="2" fontId="5" fillId="15" borderId="0" xfId="0" applyNumberFormat="1" applyFont="1" applyFill="1"/>
    <xf numFmtId="2" fontId="3" fillId="15" borderId="0" xfId="0" applyNumberFormat="1" applyFont="1" applyFill="1"/>
    <xf numFmtId="0" fontId="5" fillId="15" borderId="23" xfId="0" applyFont="1" applyFill="1" applyBorder="1" applyAlignment="1">
      <alignment horizontal="right"/>
    </xf>
    <xf numFmtId="0" fontId="5" fillId="15" borderId="22" xfId="0" applyFont="1" applyFill="1" applyBorder="1" applyAlignment="1">
      <alignment horizontal="right"/>
    </xf>
    <xf numFmtId="2" fontId="5" fillId="15" borderId="22" xfId="0" applyNumberFormat="1" applyFont="1" applyFill="1" applyBorder="1" applyAlignment="1">
      <alignment horizontal="right"/>
    </xf>
    <xf numFmtId="0" fontId="5" fillId="15" borderId="21" xfId="0" applyFont="1" applyFill="1" applyBorder="1" applyAlignment="1">
      <alignment horizontal="right"/>
    </xf>
    <xf numFmtId="0" fontId="5" fillId="15" borderId="4" xfId="0" applyFont="1" applyFill="1" applyBorder="1" applyAlignment="1">
      <alignment horizontal="right"/>
    </xf>
    <xf numFmtId="164" fontId="0" fillId="15" borderId="0" xfId="0" applyNumberFormat="1" applyFill="1" applyBorder="1" applyAlignment="1">
      <alignment horizontal="right"/>
    </xf>
    <xf numFmtId="2" fontId="3" fillId="15" borderId="0" xfId="0" applyNumberFormat="1" applyFont="1" applyFill="1" applyBorder="1" applyAlignment="1">
      <alignment horizontal="right"/>
    </xf>
    <xf numFmtId="2" fontId="0" fillId="15" borderId="5" xfId="0" applyNumberFormat="1" applyFill="1" applyBorder="1" applyAlignment="1">
      <alignment horizontal="right"/>
    </xf>
    <xf numFmtId="0" fontId="0" fillId="15" borderId="0" xfId="0" applyFill="1" applyBorder="1" applyAlignment="1">
      <alignment horizontal="right"/>
    </xf>
    <xf numFmtId="0" fontId="5" fillId="15" borderId="6" xfId="0" applyFont="1" applyFill="1" applyBorder="1" applyAlignment="1">
      <alignment horizontal="right"/>
    </xf>
    <xf numFmtId="164" fontId="0" fillId="15" borderId="20" xfId="0" applyNumberFormat="1" applyFill="1" applyBorder="1" applyAlignment="1">
      <alignment horizontal="right"/>
    </xf>
    <xf numFmtId="2" fontId="0" fillId="15" borderId="7" xfId="0" applyNumberFormat="1" applyFill="1" applyBorder="1" applyAlignment="1">
      <alignment horizontal="right"/>
    </xf>
    <xf numFmtId="2" fontId="3" fillId="21" borderId="20" xfId="0" applyNumberFormat="1" applyFont="1" applyFill="1" applyBorder="1" applyAlignment="1">
      <alignment horizontal="right"/>
    </xf>
    <xf numFmtId="0" fontId="0" fillId="22" borderId="0" xfId="0" applyFill="1"/>
    <xf numFmtId="0" fontId="3" fillId="22" borderId="0" xfId="0" applyFont="1" applyFill="1"/>
    <xf numFmtId="0" fontId="0" fillId="23" borderId="0" xfId="0" applyFill="1"/>
    <xf numFmtId="0" fontId="3" fillId="23" borderId="0" xfId="0" applyFont="1" applyFill="1"/>
    <xf numFmtId="0" fontId="0" fillId="10" borderId="0" xfId="0" applyFill="1" applyBorder="1"/>
    <xf numFmtId="0" fontId="0" fillId="10" borderId="20" xfId="0" applyFill="1" applyBorder="1"/>
    <xf numFmtId="164" fontId="5" fillId="10" borderId="0" xfId="0" applyNumberFormat="1" applyFont="1" applyFill="1"/>
    <xf numFmtId="0" fontId="5" fillId="19" borderId="2" xfId="0" applyFont="1" applyFill="1" applyBorder="1"/>
    <xf numFmtId="0" fontId="0" fillId="19" borderId="8" xfId="0" applyFill="1" applyBorder="1"/>
    <xf numFmtId="0" fontId="0" fillId="19" borderId="3" xfId="0" applyFill="1" applyBorder="1"/>
    <xf numFmtId="0" fontId="3" fillId="19" borderId="23" xfId="0" applyFont="1" applyFill="1" applyBorder="1"/>
    <xf numFmtId="0" fontId="3" fillId="19" borderId="22" xfId="0" applyFont="1" applyFill="1" applyBorder="1"/>
    <xf numFmtId="0" fontId="0" fillId="19" borderId="4" xfId="0" applyFill="1" applyBorder="1"/>
    <xf numFmtId="164" fontId="0" fillId="19" borderId="5" xfId="0" applyNumberFormat="1" applyFill="1" applyBorder="1"/>
    <xf numFmtId="0" fontId="0" fillId="19" borderId="6" xfId="0" applyFill="1" applyBorder="1"/>
    <xf numFmtId="0" fontId="0" fillId="19" borderId="20" xfId="0" applyFill="1" applyBorder="1"/>
    <xf numFmtId="164" fontId="0" fillId="19" borderId="7" xfId="0" applyNumberFormat="1" applyFill="1" applyBorder="1"/>
    <xf numFmtId="164" fontId="5" fillId="23" borderId="0" xfId="0" applyNumberFormat="1" applyFont="1" applyFill="1"/>
    <xf numFmtId="165" fontId="0" fillId="19" borderId="0" xfId="0" applyNumberFormat="1" applyFill="1" applyBorder="1"/>
    <xf numFmtId="2" fontId="0" fillId="19" borderId="0" xfId="0" applyNumberFormat="1" applyFill="1" applyBorder="1"/>
    <xf numFmtId="0" fontId="5" fillId="18" borderId="0" xfId="0" applyFont="1" applyFill="1"/>
    <xf numFmtId="0" fontId="0" fillId="24" borderId="0" xfId="0" applyFill="1"/>
    <xf numFmtId="0" fontId="0" fillId="14" borderId="1" xfId="0" applyFill="1" applyBorder="1"/>
    <xf numFmtId="0" fontId="0" fillId="14" borderId="1" xfId="0" applyFill="1" applyBorder="1" applyAlignment="1">
      <alignment horizontal="center"/>
    </xf>
    <xf numFmtId="0" fontId="3" fillId="14" borderId="0" xfId="0" applyFont="1" applyFill="1" applyAlignment="1">
      <alignment horizontal="right"/>
    </xf>
    <xf numFmtId="0" fontId="0" fillId="14" borderId="0" xfId="0" applyFill="1" applyAlignment="1">
      <alignment horizontal="right"/>
    </xf>
    <xf numFmtId="0" fontId="3" fillId="24" borderId="0" xfId="0" applyFont="1" applyFill="1"/>
    <xf numFmtId="0" fontId="3" fillId="19" borderId="0" xfId="0" applyFont="1" applyFill="1" applyAlignment="1">
      <alignment horizontal="right"/>
    </xf>
    <xf numFmtId="0" fontId="0" fillId="19" borderId="0" xfId="0" applyFill="1" applyAlignment="1">
      <alignment horizontal="right"/>
    </xf>
    <xf numFmtId="0" fontId="3" fillId="15" borderId="0" xfId="0" applyFont="1" applyFill="1" applyAlignment="1">
      <alignment horizontal="right"/>
    </xf>
    <xf numFmtId="0" fontId="0" fillId="15" borderId="0" xfId="0" applyFill="1" applyAlignment="1">
      <alignment horizontal="right"/>
    </xf>
    <xf numFmtId="164" fontId="0" fillId="15" borderId="0" xfId="0" applyNumberFormat="1" applyFill="1"/>
    <xf numFmtId="164" fontId="5" fillId="15" borderId="0" xfId="0" applyNumberFormat="1" applyFont="1" applyFill="1"/>
    <xf numFmtId="165" fontId="0" fillId="14" borderId="0" xfId="0" applyNumberFormat="1" applyFill="1"/>
    <xf numFmtId="165" fontId="0" fillId="15" borderId="0" xfId="0" applyNumberFormat="1" applyFill="1"/>
    <xf numFmtId="0" fontId="3" fillId="18" borderId="0" xfId="0" applyFont="1" applyFill="1" applyAlignment="1">
      <alignment horizontal="right"/>
    </xf>
    <xf numFmtId="0" fontId="0" fillId="18" borderId="0" xfId="0" applyFill="1" applyAlignment="1">
      <alignment horizontal="right"/>
    </xf>
    <xf numFmtId="2" fontId="0" fillId="18" borderId="0" xfId="0" applyNumberFormat="1" applyFill="1"/>
    <xf numFmtId="2" fontId="5" fillId="18" borderId="0" xfId="0" applyNumberFormat="1" applyFont="1" applyFill="1"/>
    <xf numFmtId="2" fontId="5" fillId="0" borderId="0" xfId="0" applyNumberFormat="1" applyFont="1" applyBorder="1" applyAlignment="1">
      <alignment horizontal="right"/>
    </xf>
    <xf numFmtId="0" fontId="5" fillId="0" borderId="0" xfId="0" applyFont="1" applyBorder="1"/>
    <xf numFmtId="0" fontId="0" fillId="0" borderId="20" xfId="0" applyBorder="1" applyAlignment="1">
      <alignment horizontal="right"/>
    </xf>
    <xf numFmtId="2" fontId="5" fillId="0" borderId="20" xfId="0" applyNumberFormat="1" applyFont="1" applyBorder="1" applyAlignment="1">
      <alignment horizontal="right"/>
    </xf>
    <xf numFmtId="0" fontId="5" fillId="0" borderId="22" xfId="0" applyFont="1" applyBorder="1" applyAlignment="1">
      <alignment horizontal="right"/>
    </xf>
    <xf numFmtId="0" fontId="0" fillId="0" borderId="22" xfId="0" applyBorder="1"/>
    <xf numFmtId="0" fontId="0" fillId="18" borderId="1" xfId="0" applyFill="1" applyBorder="1" applyAlignment="1">
      <alignment horizontal="center"/>
    </xf>
    <xf numFmtId="0" fontId="3" fillId="19" borderId="0" xfId="0" applyFont="1" applyFill="1" applyBorder="1" applyAlignment="1">
      <alignment horizontal="center"/>
    </xf>
    <xf numFmtId="0" fontId="3" fillId="19" borderId="0" xfId="0" applyFont="1" applyFill="1" applyAlignment="1">
      <alignment horizontal="center"/>
    </xf>
    <xf numFmtId="0" fontId="5" fillId="19" borderId="23" xfId="0" applyFont="1" applyFill="1" applyBorder="1" applyAlignment="1">
      <alignment horizontal="center"/>
    </xf>
    <xf numFmtId="0" fontId="5" fillId="19" borderId="22" xfId="0" applyFont="1" applyFill="1" applyBorder="1" applyAlignment="1">
      <alignment horizontal="center"/>
    </xf>
    <xf numFmtId="0" fontId="5" fillId="19" borderId="21" xfId="0" applyFont="1" applyFill="1" applyBorder="1" applyAlignment="1">
      <alignment horizontal="center"/>
    </xf>
    <xf numFmtId="164" fontId="0" fillId="19" borderId="2" xfId="0" applyNumberFormat="1" applyFill="1" applyBorder="1" applyAlignment="1">
      <alignment horizontal="center"/>
    </xf>
    <xf numFmtId="0" fontId="3" fillId="19" borderId="8" xfId="0" applyFont="1" applyFill="1" applyBorder="1" applyAlignment="1">
      <alignment horizontal="center"/>
    </xf>
    <xf numFmtId="164" fontId="0" fillId="19" borderId="4" xfId="0" applyNumberFormat="1" applyFill="1" applyBorder="1" applyAlignment="1">
      <alignment horizontal="center"/>
    </xf>
    <xf numFmtId="164" fontId="0" fillId="19" borderId="6" xfId="0" applyNumberFormat="1" applyFill="1" applyBorder="1" applyAlignment="1">
      <alignment horizontal="center"/>
    </xf>
    <xf numFmtId="0" fontId="3" fillId="19" borderId="20" xfId="0" applyFont="1" applyFill="1" applyBorder="1" applyAlignment="1">
      <alignment horizontal="center"/>
    </xf>
    <xf numFmtId="0" fontId="26" fillId="16" borderId="0" xfId="0" applyFont="1" applyFill="1" applyAlignment="1">
      <alignment horizontal="left"/>
    </xf>
    <xf numFmtId="167" fontId="0" fillId="4" borderId="0" xfId="0" applyNumberFormat="1" applyFill="1" applyAlignment="1">
      <alignment horizontal="right"/>
    </xf>
    <xf numFmtId="0" fontId="5" fillId="19" borderId="8" xfId="0" applyFont="1" applyFill="1" applyBorder="1"/>
    <xf numFmtId="0" fontId="5" fillId="19" borderId="21" xfId="0" applyFont="1" applyFill="1" applyBorder="1"/>
    <xf numFmtId="0" fontId="5" fillId="19" borderId="23" xfId="0" applyFont="1" applyFill="1" applyBorder="1" applyAlignment="1">
      <alignment horizontal="right"/>
    </xf>
    <xf numFmtId="0" fontId="5" fillId="19" borderId="22" xfId="0" applyFont="1" applyFill="1" applyBorder="1" applyAlignment="1">
      <alignment horizontal="right"/>
    </xf>
    <xf numFmtId="0" fontId="5" fillId="19" borderId="21" xfId="0" applyFont="1" applyFill="1" applyBorder="1" applyAlignment="1">
      <alignment horizontal="right"/>
    </xf>
    <xf numFmtId="0" fontId="0" fillId="19" borderId="2" xfId="0" applyFill="1" applyBorder="1"/>
    <xf numFmtId="3" fontId="0" fillId="19" borderId="8" xfId="0" applyNumberFormat="1" applyFill="1" applyBorder="1"/>
    <xf numFmtId="4" fontId="0" fillId="19" borderId="3" xfId="0" applyNumberFormat="1" applyFill="1" applyBorder="1"/>
    <xf numFmtId="165" fontId="0" fillId="19" borderId="5" xfId="0" applyNumberFormat="1" applyFill="1" applyBorder="1"/>
    <xf numFmtId="165" fontId="0" fillId="19" borderId="4" xfId="0" applyNumberFormat="1" applyFill="1" applyBorder="1"/>
    <xf numFmtId="165" fontId="0" fillId="19" borderId="6" xfId="0" applyNumberFormat="1" applyFill="1" applyBorder="1"/>
    <xf numFmtId="165" fontId="0" fillId="19" borderId="20" xfId="0" applyNumberFormat="1" applyFill="1" applyBorder="1"/>
    <xf numFmtId="165" fontId="0" fillId="19" borderId="7" xfId="0" applyNumberFormat="1" applyFill="1" applyBorder="1"/>
    <xf numFmtId="165" fontId="0" fillId="19" borderId="19" xfId="0" applyNumberFormat="1" applyFill="1" applyBorder="1"/>
    <xf numFmtId="10" fontId="5" fillId="23" borderId="0" xfId="0" applyNumberFormat="1" applyFont="1" applyFill="1" applyAlignment="1">
      <alignment horizontal="right"/>
    </xf>
    <xf numFmtId="164" fontId="5" fillId="23" borderId="0" xfId="0" applyNumberFormat="1" applyFont="1" applyFill="1" applyAlignment="1">
      <alignment horizontal="right"/>
    </xf>
    <xf numFmtId="164" fontId="5" fillId="23" borderId="0" xfId="0" applyNumberFormat="1" applyFont="1" applyFill="1" applyBorder="1" applyAlignment="1">
      <alignment horizontal="right"/>
    </xf>
    <xf numFmtId="10" fontId="5" fillId="10" borderId="0" xfId="0" applyNumberFormat="1" applyFont="1" applyFill="1" applyBorder="1" applyAlignment="1">
      <alignment horizontal="right"/>
    </xf>
    <xf numFmtId="10" fontId="5" fillId="10" borderId="0" xfId="0" applyNumberFormat="1" applyFont="1" applyFill="1" applyAlignment="1">
      <alignment horizontal="right"/>
    </xf>
    <xf numFmtId="164" fontId="5" fillId="10" borderId="0" xfId="0" applyNumberFormat="1" applyFont="1" applyFill="1" applyAlignment="1">
      <alignment horizontal="right"/>
    </xf>
    <xf numFmtId="165" fontId="5" fillId="10" borderId="0" xfId="0" applyNumberFormat="1" applyFont="1" applyFill="1" applyAlignment="1">
      <alignment horizontal="right"/>
    </xf>
    <xf numFmtId="164" fontId="5" fillId="10" borderId="0" xfId="0" applyNumberFormat="1" applyFont="1" applyFill="1" applyBorder="1" applyAlignment="1">
      <alignment horizontal="right"/>
    </xf>
    <xf numFmtId="0" fontId="5" fillId="10" borderId="0" xfId="0" applyFont="1" applyFill="1" applyAlignment="1">
      <alignment horizontal="right"/>
    </xf>
    <xf numFmtId="0" fontId="0" fillId="19" borderId="4" xfId="0" applyFill="1" applyBorder="1" applyAlignment="1">
      <alignment horizontal="right"/>
    </xf>
    <xf numFmtId="168" fontId="0" fillId="19" borderId="0" xfId="0" applyNumberFormat="1" applyFill="1" applyBorder="1" applyAlignment="1">
      <alignment horizontal="right"/>
    </xf>
    <xf numFmtId="0" fontId="0" fillId="19" borderId="6" xfId="0" applyFill="1" applyBorder="1" applyAlignment="1">
      <alignment horizontal="right"/>
    </xf>
    <xf numFmtId="164" fontId="0" fillId="19" borderId="0" xfId="0" applyNumberFormat="1" applyFill="1" applyBorder="1" applyAlignment="1">
      <alignment horizontal="right"/>
    </xf>
    <xf numFmtId="164" fontId="0" fillId="19" borderId="5" xfId="0" applyNumberFormat="1" applyFill="1" applyBorder="1" applyAlignment="1">
      <alignment horizontal="right"/>
    </xf>
    <xf numFmtId="164" fontId="3" fillId="19" borderId="0" xfId="0" applyNumberFormat="1" applyFont="1" applyFill="1" applyAlignment="1">
      <alignment horizontal="right"/>
    </xf>
    <xf numFmtId="164" fontId="3" fillId="19" borderId="0" xfId="0" applyNumberFormat="1" applyFont="1" applyFill="1" applyBorder="1" applyAlignment="1">
      <alignment horizontal="right"/>
    </xf>
    <xf numFmtId="164" fontId="3" fillId="19" borderId="5" xfId="0" applyNumberFormat="1" applyFont="1" applyFill="1" applyBorder="1" applyAlignment="1">
      <alignment horizontal="right"/>
    </xf>
    <xf numFmtId="164" fontId="0" fillId="19" borderId="20" xfId="0" applyNumberFormat="1" applyFill="1" applyBorder="1" applyAlignment="1">
      <alignment horizontal="right"/>
    </xf>
    <xf numFmtId="164" fontId="0" fillId="19" borderId="7" xfId="0" applyNumberFormat="1" applyFill="1" applyBorder="1" applyAlignment="1">
      <alignment horizontal="right"/>
    </xf>
    <xf numFmtId="0" fontId="3" fillId="19" borderId="17" xfId="0" applyFont="1" applyFill="1" applyBorder="1"/>
    <xf numFmtId="0" fontId="3" fillId="19" borderId="6" xfId="0" applyFont="1" applyFill="1" applyBorder="1"/>
    <xf numFmtId="0" fontId="3" fillId="19" borderId="19" xfId="0" applyFont="1" applyFill="1" applyBorder="1"/>
    <xf numFmtId="0" fontId="3" fillId="19" borderId="4" xfId="0" applyFont="1" applyFill="1" applyBorder="1"/>
    <xf numFmtId="0" fontId="3" fillId="19" borderId="18" xfId="0" applyFont="1" applyFill="1" applyBorder="1"/>
    <xf numFmtId="0" fontId="0" fillId="19" borderId="18" xfId="0" applyFill="1" applyBorder="1"/>
    <xf numFmtId="0" fontId="3" fillId="19" borderId="2" xfId="0" applyFont="1" applyFill="1" applyBorder="1"/>
    <xf numFmtId="0" fontId="0" fillId="19" borderId="17" xfId="0" applyFill="1" applyBorder="1"/>
    <xf numFmtId="0" fontId="0" fillId="19" borderId="19" xfId="0" applyFill="1" applyBorder="1"/>
    <xf numFmtId="2" fontId="0" fillId="19" borderId="7" xfId="0" applyNumberFormat="1" applyFill="1" applyBorder="1"/>
    <xf numFmtId="0" fontId="3" fillId="14" borderId="1" xfId="0" applyFont="1" applyFill="1" applyBorder="1" applyAlignment="1">
      <alignment horizontal="right"/>
    </xf>
    <xf numFmtId="0" fontId="3" fillId="6" borderId="9" xfId="1" applyFill="1" applyBorder="1"/>
    <xf numFmtId="0" fontId="0" fillId="6" borderId="11" xfId="0" applyFill="1" applyBorder="1"/>
    <xf numFmtId="0" fontId="3" fillId="6" borderId="11" xfId="1" applyFill="1" applyBorder="1"/>
    <xf numFmtId="0" fontId="0" fillId="6" borderId="10" xfId="0" applyFill="1" applyBorder="1"/>
    <xf numFmtId="0" fontId="3" fillId="0" borderId="14" xfId="0" applyFont="1" applyBorder="1"/>
    <xf numFmtId="0" fontId="3" fillId="0" borderId="14" xfId="1" applyFill="1" applyBorder="1"/>
    <xf numFmtId="0" fontId="3" fillId="0" borderId="12" xfId="1" applyFill="1" applyBorder="1"/>
    <xf numFmtId="0" fontId="3" fillId="6" borderId="14" xfId="0" applyFont="1" applyFill="1" applyBorder="1"/>
    <xf numFmtId="0" fontId="0" fillId="6" borderId="12" xfId="0" applyFill="1" applyBorder="1"/>
    <xf numFmtId="0" fontId="3" fillId="4" borderId="14" xfId="1" applyFill="1" applyBorder="1"/>
    <xf numFmtId="0" fontId="3" fillId="4" borderId="14" xfId="0" applyFont="1" applyFill="1" applyBorder="1"/>
    <xf numFmtId="0" fontId="3" fillId="0" borderId="12" xfId="0" applyFont="1" applyBorder="1"/>
    <xf numFmtId="0" fontId="3" fillId="4" borderId="14" xfId="1" applyFont="1" applyFill="1" applyBorder="1"/>
    <xf numFmtId="0" fontId="3" fillId="0" borderId="13" xfId="1" applyFill="1" applyBorder="1"/>
    <xf numFmtId="0" fontId="20" fillId="0" borderId="0" xfId="1" applyFont="1" applyFill="1" applyBorder="1"/>
    <xf numFmtId="0" fontId="20" fillId="0" borderId="0" xfId="0" applyFont="1" applyBorder="1"/>
    <xf numFmtId="0" fontId="3" fillId="6" borderId="10" xfId="1" applyFill="1" applyBorder="1"/>
    <xf numFmtId="0" fontId="3" fillId="6" borderId="12" xfId="1" applyFill="1" applyBorder="1"/>
    <xf numFmtId="164" fontId="0" fillId="0" borderId="0" xfId="0" applyNumberFormat="1" applyBorder="1"/>
    <xf numFmtId="164" fontId="3" fillId="7" borderId="0" xfId="1" applyNumberFormat="1" applyFill="1" applyBorder="1"/>
    <xf numFmtId="164" fontId="3" fillId="7" borderId="12" xfId="1" applyNumberFormat="1" applyFill="1" applyBorder="1"/>
    <xf numFmtId="164" fontId="3" fillId="0" borderId="0" xfId="1" applyNumberFormat="1" applyFill="1" applyBorder="1"/>
    <xf numFmtId="164" fontId="3" fillId="0" borderId="12" xfId="1" applyNumberFormat="1" applyFill="1" applyBorder="1"/>
    <xf numFmtId="1" fontId="0" fillId="0" borderId="0" xfId="0" applyNumberFormat="1" applyBorder="1"/>
    <xf numFmtId="164" fontId="3" fillId="0" borderId="13" xfId="1" applyNumberFormat="1" applyFill="1" applyBorder="1"/>
    <xf numFmtId="164" fontId="3" fillId="0" borderId="15" xfId="1" applyNumberFormat="1" applyFill="1" applyBorder="1"/>
    <xf numFmtId="165" fontId="0" fillId="0" borderId="0" xfId="0" applyNumberFormat="1" applyBorder="1"/>
    <xf numFmtId="165" fontId="3" fillId="0" borderId="0" xfId="1" applyNumberFormat="1" applyFill="1" applyBorder="1"/>
    <xf numFmtId="2" fontId="0" fillId="0" borderId="0" xfId="0" applyNumberFormat="1" applyBorder="1"/>
    <xf numFmtId="2" fontId="3" fillId="0" borderId="0" xfId="1" applyNumberFormat="1" applyFill="1" applyBorder="1"/>
    <xf numFmtId="2" fontId="3" fillId="0" borderId="13" xfId="1" applyNumberFormat="1" applyFill="1" applyBorder="1"/>
    <xf numFmtId="164" fontId="0" fillId="7" borderId="0" xfId="0" applyNumberFormat="1" applyFill="1" applyBorder="1"/>
    <xf numFmtId="0" fontId="3" fillId="0" borderId="13" xfId="0" applyFont="1" applyBorder="1"/>
    <xf numFmtId="1" fontId="0" fillId="0" borderId="13" xfId="0" applyNumberFormat="1" applyBorder="1"/>
    <xf numFmtId="1" fontId="0" fillId="7" borderId="0" xfId="0" applyNumberFormat="1" applyFill="1" applyBorder="1"/>
    <xf numFmtId="166" fontId="15" fillId="4" borderId="11" xfId="2" applyNumberFormat="1" applyFill="1" applyBorder="1"/>
    <xf numFmtId="0" fontId="16" fillId="5" borderId="16" xfId="2" applyFont="1" applyFill="1" applyBorder="1"/>
    <xf numFmtId="166" fontId="16" fillId="5" borderId="13" xfId="2" applyNumberFormat="1" applyFont="1" applyFill="1" applyBorder="1"/>
    <xf numFmtId="0" fontId="16" fillId="0" borderId="0" xfId="2" applyFont="1" applyAlignment="1">
      <alignment horizontal="right"/>
    </xf>
    <xf numFmtId="0" fontId="3" fillId="19" borderId="0" xfId="0" applyFont="1" applyFill="1" applyBorder="1"/>
    <xf numFmtId="0" fontId="5" fillId="19" borderId="0" xfId="0" applyFont="1" applyFill="1" applyBorder="1" applyAlignment="1"/>
    <xf numFmtId="0" fontId="0" fillId="19" borderId="0" xfId="0" applyFill="1" applyBorder="1" applyAlignment="1"/>
    <xf numFmtId="0" fontId="3" fillId="19" borderId="0" xfId="1" applyFill="1" applyBorder="1"/>
    <xf numFmtId="0" fontId="3" fillId="19" borderId="0" xfId="0" applyFont="1" applyFill="1" applyBorder="1" applyAlignment="1"/>
    <xf numFmtId="0" fontId="0" fillId="19" borderId="0" xfId="0" applyFont="1" applyFill="1" applyBorder="1" applyAlignment="1"/>
    <xf numFmtId="0" fontId="0" fillId="19" borderId="0" xfId="0" applyFont="1" applyFill="1" applyBorder="1"/>
    <xf numFmtId="0" fontId="5" fillId="19" borderId="0" xfId="0" applyFont="1" applyFill="1" applyBorder="1"/>
    <xf numFmtId="0" fontId="15" fillId="19" borderId="9" xfId="2" applyFill="1" applyBorder="1" applyAlignment="1">
      <alignment horizontal="center"/>
    </xf>
    <xf numFmtId="0" fontId="15" fillId="19" borderId="11" xfId="2" applyFill="1" applyBorder="1"/>
    <xf numFmtId="0" fontId="15" fillId="19" borderId="10" xfId="2" applyFill="1" applyBorder="1"/>
    <xf numFmtId="0" fontId="15" fillId="19" borderId="14" xfId="2" applyFill="1" applyBorder="1" applyAlignment="1">
      <alignment horizontal="center"/>
    </xf>
    <xf numFmtId="0" fontId="15" fillId="19" borderId="0" xfId="2" applyFill="1" applyBorder="1"/>
    <xf numFmtId="0" fontId="15" fillId="19" borderId="12" xfId="2" applyFill="1" applyBorder="1"/>
    <xf numFmtId="0" fontId="16" fillId="19" borderId="27" xfId="2" applyFont="1" applyFill="1" applyBorder="1" applyAlignment="1">
      <alignment horizontal="right"/>
    </xf>
    <xf numFmtId="0" fontId="16" fillId="19" borderId="29" xfId="2" applyFont="1" applyFill="1" applyBorder="1" applyAlignment="1">
      <alignment horizontal="right"/>
    </xf>
    <xf numFmtId="0" fontId="16" fillId="19" borderId="30" xfId="2" applyFont="1" applyFill="1" applyBorder="1" applyAlignment="1">
      <alignment horizontal="right"/>
    </xf>
    <xf numFmtId="0" fontId="15" fillId="19" borderId="9" xfId="2" applyFill="1" applyBorder="1" applyAlignment="1">
      <alignment horizontal="right"/>
    </xf>
    <xf numFmtId="164" fontId="15" fillId="19" borderId="11" xfId="2" applyNumberFormat="1" applyFill="1" applyBorder="1" applyAlignment="1">
      <alignment horizontal="right"/>
    </xf>
    <xf numFmtId="164" fontId="15" fillId="19" borderId="10" xfId="2" applyNumberFormat="1" applyFill="1" applyBorder="1" applyAlignment="1">
      <alignment horizontal="right"/>
    </xf>
    <xf numFmtId="0" fontId="15" fillId="19" borderId="14" xfId="2" applyFill="1" applyBorder="1" applyAlignment="1">
      <alignment horizontal="right"/>
    </xf>
    <xf numFmtId="164" fontId="15" fillId="19" borderId="0" xfId="2" applyNumberFormat="1" applyFill="1" applyBorder="1" applyAlignment="1">
      <alignment horizontal="right"/>
    </xf>
    <xf numFmtId="164" fontId="15" fillId="19" borderId="12" xfId="2" applyNumberFormat="1" applyFill="1" applyBorder="1" applyAlignment="1">
      <alignment horizontal="right"/>
    </xf>
    <xf numFmtId="0" fontId="15" fillId="19" borderId="16" xfId="2" applyFill="1" applyBorder="1" applyAlignment="1">
      <alignment horizontal="right"/>
    </xf>
    <xf numFmtId="164" fontId="15" fillId="19" borderId="13" xfId="2" applyNumberFormat="1" applyFill="1" applyBorder="1" applyAlignment="1">
      <alignment horizontal="right"/>
    </xf>
    <xf numFmtId="164" fontId="15" fillId="19" borderId="15" xfId="2" applyNumberFormat="1" applyFill="1" applyBorder="1" applyAlignment="1">
      <alignment horizontal="right"/>
    </xf>
    <xf numFmtId="0" fontId="15" fillId="19" borderId="14" xfId="2" applyFill="1" applyBorder="1"/>
    <xf numFmtId="0" fontId="16" fillId="19" borderId="0" xfId="2" applyFont="1" applyFill="1" applyBorder="1"/>
    <xf numFmtId="0" fontId="15" fillId="14" borderId="11" xfId="2" applyFill="1" applyBorder="1"/>
    <xf numFmtId="0" fontId="15" fillId="14" borderId="10" xfId="2" applyFill="1" applyBorder="1"/>
    <xf numFmtId="0" fontId="15" fillId="14" borderId="0" xfId="2" applyFill="1" applyBorder="1"/>
    <xf numFmtId="0" fontId="15" fillId="14" borderId="12" xfId="2" applyFill="1" applyBorder="1"/>
    <xf numFmtId="0" fontId="16" fillId="14" borderId="29" xfId="2" applyFont="1" applyFill="1" applyBorder="1" applyAlignment="1">
      <alignment horizontal="right"/>
    </xf>
    <xf numFmtId="0" fontId="16" fillId="14" borderId="30" xfId="2" applyFont="1" applyFill="1" applyBorder="1" applyAlignment="1">
      <alignment horizontal="right"/>
    </xf>
    <xf numFmtId="164" fontId="15" fillId="14" borderId="11" xfId="2" applyNumberFormat="1" applyFill="1" applyBorder="1"/>
    <xf numFmtId="164" fontId="15" fillId="14" borderId="10" xfId="2" applyNumberFormat="1" applyFill="1" applyBorder="1"/>
    <xf numFmtId="164" fontId="15" fillId="14" borderId="0" xfId="2" applyNumberFormat="1" applyFill="1" applyBorder="1"/>
    <xf numFmtId="164" fontId="15" fillId="14" borderId="12" xfId="2" applyNumberFormat="1" applyFill="1" applyBorder="1"/>
    <xf numFmtId="164" fontId="15" fillId="14" borderId="13" xfId="2" applyNumberFormat="1" applyFill="1" applyBorder="1"/>
    <xf numFmtId="164" fontId="15" fillId="14" borderId="15" xfId="2" applyNumberFormat="1" applyFill="1" applyBorder="1"/>
    <xf numFmtId="164" fontId="16" fillId="14" borderId="9" xfId="2" applyNumberFormat="1" applyFont="1" applyFill="1" applyBorder="1"/>
    <xf numFmtId="164" fontId="16" fillId="14" borderId="11" xfId="2" applyNumberFormat="1" applyFont="1" applyFill="1" applyBorder="1"/>
    <xf numFmtId="164" fontId="16" fillId="14" borderId="10" xfId="2" applyNumberFormat="1" applyFont="1" applyFill="1" applyBorder="1"/>
    <xf numFmtId="0" fontId="15" fillId="14" borderId="16" xfId="2" applyFill="1" applyBorder="1"/>
    <xf numFmtId="0" fontId="15" fillId="14" borderId="13" xfId="2" applyFill="1" applyBorder="1"/>
    <xf numFmtId="0" fontId="15" fillId="14" borderId="15" xfId="2" applyFill="1" applyBorder="1"/>
    <xf numFmtId="0" fontId="15" fillId="25" borderId="9" xfId="2" applyFill="1" applyBorder="1"/>
    <xf numFmtId="0" fontId="15" fillId="25" borderId="11" xfId="2" applyFill="1" applyBorder="1"/>
    <xf numFmtId="0" fontId="15" fillId="25" borderId="10" xfId="2" applyFill="1" applyBorder="1"/>
    <xf numFmtId="0" fontId="15" fillId="25" borderId="14" xfId="2" applyFill="1" applyBorder="1"/>
    <xf numFmtId="0" fontId="15" fillId="25" borderId="0" xfId="2" applyFill="1" applyBorder="1"/>
    <xf numFmtId="0" fontId="15" fillId="25" borderId="12" xfId="2" applyFill="1" applyBorder="1"/>
    <xf numFmtId="0" fontId="16" fillId="25" borderId="27" xfId="2" applyFont="1" applyFill="1" applyBorder="1" applyAlignment="1">
      <alignment horizontal="right"/>
    </xf>
    <xf numFmtId="0" fontId="16" fillId="25" borderId="29" xfId="2" applyFont="1" applyFill="1" applyBorder="1" applyAlignment="1">
      <alignment horizontal="right"/>
    </xf>
    <xf numFmtId="0" fontId="16" fillId="25" borderId="30" xfId="2" applyFont="1" applyFill="1" applyBorder="1" applyAlignment="1">
      <alignment horizontal="right"/>
    </xf>
    <xf numFmtId="164" fontId="15" fillId="25" borderId="9" xfId="2" applyNumberFormat="1" applyFill="1" applyBorder="1"/>
    <xf numFmtId="164" fontId="15" fillId="25" borderId="11" xfId="2" applyNumberFormat="1" applyFill="1" applyBorder="1"/>
    <xf numFmtId="164" fontId="15" fillId="25" borderId="10" xfId="2" applyNumberFormat="1" applyFill="1" applyBorder="1"/>
    <xf numFmtId="164" fontId="15" fillId="25" borderId="14" xfId="2" applyNumberFormat="1" applyFill="1" applyBorder="1"/>
    <xf numFmtId="164" fontId="15" fillId="25" borderId="0" xfId="2" applyNumberFormat="1" applyFill="1" applyBorder="1"/>
    <xf numFmtId="164" fontId="15" fillId="25" borderId="12" xfId="2" applyNumberFormat="1" applyFill="1" applyBorder="1"/>
    <xf numFmtId="164" fontId="15" fillId="25" borderId="16" xfId="2" applyNumberFormat="1" applyFill="1" applyBorder="1" applyAlignment="1">
      <alignment horizontal="right"/>
    </xf>
    <xf numFmtId="164" fontId="15" fillId="25" borderId="13" xfId="2" applyNumberFormat="1" applyFill="1" applyBorder="1" applyAlignment="1">
      <alignment horizontal="right"/>
    </xf>
    <xf numFmtId="164" fontId="15" fillId="25" borderId="15" xfId="2" applyNumberFormat="1" applyFill="1" applyBorder="1" applyAlignment="1">
      <alignment horizontal="right"/>
    </xf>
    <xf numFmtId="164" fontId="16" fillId="25" borderId="9" xfId="2" applyNumberFormat="1" applyFont="1" applyFill="1" applyBorder="1"/>
    <xf numFmtId="164" fontId="16" fillId="25" borderId="11" xfId="2" applyNumberFormat="1" applyFont="1" applyFill="1" applyBorder="1"/>
    <xf numFmtId="164" fontId="16" fillId="25" borderId="10" xfId="2" applyNumberFormat="1" applyFont="1" applyFill="1" applyBorder="1"/>
    <xf numFmtId="164" fontId="16" fillId="25" borderId="16" xfId="2" applyNumberFormat="1" applyFont="1" applyFill="1" applyBorder="1"/>
    <xf numFmtId="164" fontId="16" fillId="25" borderId="13" xfId="2" applyNumberFormat="1" applyFont="1" applyFill="1" applyBorder="1"/>
    <xf numFmtId="164" fontId="16" fillId="25" borderId="15" xfId="2" applyNumberFormat="1" applyFont="1" applyFill="1" applyBorder="1"/>
    <xf numFmtId="164" fontId="15" fillId="25" borderId="16" xfId="2" applyNumberFormat="1" applyFill="1" applyBorder="1"/>
    <xf numFmtId="164" fontId="15" fillId="25" borderId="13" xfId="2" applyNumberFormat="1" applyFill="1" applyBorder="1"/>
    <xf numFmtId="0" fontId="15" fillId="25" borderId="15" xfId="2" applyFill="1" applyBorder="1"/>
    <xf numFmtId="0" fontId="15" fillId="25" borderId="0" xfId="2" applyFill="1"/>
    <xf numFmtId="0" fontId="15" fillId="19" borderId="0" xfId="2" applyFill="1"/>
    <xf numFmtId="0" fontId="3" fillId="5" borderId="0" xfId="0" applyFont="1" applyFill="1" applyBorder="1"/>
    <xf numFmtId="0" fontId="3" fillId="5" borderId="13" xfId="0" applyFont="1" applyFill="1" applyBorder="1"/>
    <xf numFmtId="0" fontId="3" fillId="19" borderId="9" xfId="0" applyFont="1" applyFill="1" applyBorder="1"/>
    <xf numFmtId="0" fontId="0" fillId="19" borderId="10" xfId="0" applyFill="1" applyBorder="1"/>
    <xf numFmtId="0" fontId="0" fillId="19" borderId="14" xfId="0" applyFill="1" applyBorder="1"/>
    <xf numFmtId="0" fontId="0" fillId="19" borderId="12" xfId="0" applyFill="1" applyBorder="1"/>
    <xf numFmtId="0" fontId="5" fillId="19" borderId="9" xfId="0" applyFont="1" applyFill="1" applyBorder="1"/>
    <xf numFmtId="0" fontId="5" fillId="19" borderId="11" xfId="0" applyFont="1" applyFill="1" applyBorder="1"/>
    <xf numFmtId="0" fontId="5" fillId="19" borderId="10" xfId="0" applyFont="1" applyFill="1" applyBorder="1"/>
    <xf numFmtId="0" fontId="5" fillId="19" borderId="14" xfId="0" applyFont="1" applyFill="1" applyBorder="1"/>
    <xf numFmtId="0" fontId="0" fillId="19" borderId="16" xfId="0" applyFill="1" applyBorder="1"/>
    <xf numFmtId="0" fontId="0" fillId="19" borderId="13" xfId="0" applyFill="1" applyBorder="1"/>
    <xf numFmtId="0" fontId="0" fillId="19" borderId="15" xfId="0" applyFill="1" applyBorder="1"/>
    <xf numFmtId="0" fontId="3" fillId="19" borderId="13" xfId="0" applyFont="1" applyFill="1" applyBorder="1"/>
    <xf numFmtId="0" fontId="0" fillId="4" borderId="11" xfId="0" applyFill="1" applyBorder="1"/>
    <xf numFmtId="165" fontId="3" fillId="19" borderId="0" xfId="0" applyNumberFormat="1" applyFont="1" applyFill="1"/>
    <xf numFmtId="0" fontId="5" fillId="0" borderId="9" xfId="0" applyFont="1" applyFill="1" applyBorder="1" applyAlignment="1">
      <alignment horizontal="center"/>
    </xf>
    <xf numFmtId="0" fontId="5" fillId="0" borderId="11" xfId="0" applyFont="1" applyFill="1" applyBorder="1" applyAlignment="1">
      <alignment horizontal="center"/>
    </xf>
    <xf numFmtId="0" fontId="3" fillId="5" borderId="0" xfId="0" quotePrefix="1" applyFont="1" applyFill="1" applyBorder="1"/>
    <xf numFmtId="164" fontId="0" fillId="0" borderId="12" xfId="0" applyNumberFormat="1" applyBorder="1"/>
    <xf numFmtId="164" fontId="0" fillId="5" borderId="12" xfId="0" applyNumberFormat="1" applyFill="1" applyBorder="1"/>
    <xf numFmtId="164" fontId="0" fillId="5" borderId="15" xfId="0" applyNumberFormat="1" applyFill="1" applyBorder="1"/>
    <xf numFmtId="3" fontId="0" fillId="0" borderId="13" xfId="0" applyNumberFormat="1" applyBorder="1" applyAlignment="1">
      <alignment horizontal="right"/>
    </xf>
    <xf numFmtId="164" fontId="0" fillId="0" borderId="15" xfId="0" applyNumberFormat="1" applyBorder="1"/>
    <xf numFmtId="0" fontId="0" fillId="4" borderId="14" xfId="0" applyFill="1" applyBorder="1"/>
    <xf numFmtId="0" fontId="5" fillId="0" borderId="9" xfId="0" applyFont="1" applyBorder="1" applyAlignment="1">
      <alignment horizontal="right"/>
    </xf>
    <xf numFmtId="0" fontId="5" fillId="0" borderId="11" xfId="0" applyFont="1" applyBorder="1" applyAlignment="1">
      <alignment horizontal="right"/>
    </xf>
    <xf numFmtId="0" fontId="5" fillId="0" borderId="11" xfId="0" quotePrefix="1" applyFont="1" applyBorder="1" applyAlignment="1">
      <alignment horizontal="right"/>
    </xf>
    <xf numFmtId="0" fontId="5" fillId="0" borderId="10" xfId="0" quotePrefix="1" applyFont="1" applyBorder="1" applyAlignment="1">
      <alignment horizontal="right"/>
    </xf>
    <xf numFmtId="0" fontId="0" fillId="4" borderId="0" xfId="0" applyFill="1"/>
    <xf numFmtId="170" fontId="0" fillId="0" borderId="0" xfId="0" applyNumberFormat="1"/>
    <xf numFmtId="0" fontId="0" fillId="12" borderId="0" xfId="0" applyFill="1"/>
    <xf numFmtId="0" fontId="5" fillId="12" borderId="0" xfId="0" applyFont="1" applyFill="1" applyAlignment="1">
      <alignment horizontal="right"/>
    </xf>
    <xf numFmtId="0" fontId="0" fillId="12" borderId="14" xfId="0" applyFill="1" applyBorder="1"/>
    <xf numFmtId="164" fontId="0" fillId="12" borderId="0" xfId="0" applyNumberFormat="1" applyFill="1" applyBorder="1"/>
    <xf numFmtId="165" fontId="0" fillId="12" borderId="12" xfId="0" applyNumberFormat="1" applyFill="1" applyBorder="1"/>
    <xf numFmtId="0" fontId="0" fillId="12" borderId="16" xfId="0" applyFill="1" applyBorder="1"/>
    <xf numFmtId="164" fontId="0" fillId="12" borderId="13" xfId="0" applyNumberFormat="1" applyFill="1" applyBorder="1"/>
    <xf numFmtId="165" fontId="0" fillId="12" borderId="15" xfId="0" applyNumberFormat="1" applyFill="1" applyBorder="1"/>
    <xf numFmtId="0" fontId="5" fillId="12" borderId="0" xfId="0" applyFont="1" applyFill="1"/>
    <xf numFmtId="0" fontId="0" fillId="26" borderId="0" xfId="0" applyFill="1"/>
    <xf numFmtId="0" fontId="5" fillId="26" borderId="30" xfId="0" applyFont="1" applyFill="1" applyBorder="1" applyAlignment="1">
      <alignment horizontal="right"/>
    </xf>
    <xf numFmtId="0" fontId="0" fillId="26" borderId="14" xfId="0" applyFill="1" applyBorder="1"/>
    <xf numFmtId="164" fontId="0" fillId="26" borderId="0" xfId="0" applyNumberFormat="1" applyFill="1" applyBorder="1"/>
    <xf numFmtId="0" fontId="0" fillId="26" borderId="16" xfId="0" applyFill="1" applyBorder="1"/>
    <xf numFmtId="0" fontId="5" fillId="26" borderId="0" xfId="0" applyFont="1" applyFill="1"/>
    <xf numFmtId="0" fontId="0" fillId="18" borderId="14" xfId="0" applyFill="1" applyBorder="1"/>
    <xf numFmtId="0" fontId="0" fillId="20" borderId="0" xfId="0" applyFill="1"/>
    <xf numFmtId="0" fontId="5" fillId="20" borderId="0" xfId="0" applyFont="1" applyFill="1" applyAlignment="1">
      <alignment horizontal="right"/>
    </xf>
    <xf numFmtId="0" fontId="5" fillId="20" borderId="27" xfId="0" applyFont="1" applyFill="1" applyBorder="1"/>
    <xf numFmtId="0" fontId="5" fillId="20" borderId="29" xfId="0" applyFont="1" applyFill="1" applyBorder="1"/>
    <xf numFmtId="0" fontId="5" fillId="20" borderId="30" xfId="0" applyFont="1" applyFill="1" applyBorder="1" applyAlignment="1">
      <alignment horizontal="right"/>
    </xf>
    <xf numFmtId="0" fontId="0" fillId="20" borderId="14" xfId="0" applyFill="1" applyBorder="1"/>
    <xf numFmtId="164" fontId="0" fillId="20" borderId="0" xfId="0" applyNumberFormat="1" applyFill="1" applyBorder="1"/>
    <xf numFmtId="165" fontId="0" fillId="20" borderId="12" xfId="0" applyNumberFormat="1" applyFill="1" applyBorder="1"/>
    <xf numFmtId="0" fontId="0" fillId="20" borderId="16" xfId="0" applyFill="1" applyBorder="1"/>
    <xf numFmtId="164" fontId="0" fillId="20" borderId="13" xfId="0" applyNumberFormat="1" applyFill="1" applyBorder="1"/>
    <xf numFmtId="165" fontId="0" fillId="20" borderId="15" xfId="0" applyNumberFormat="1" applyFill="1" applyBorder="1"/>
    <xf numFmtId="2" fontId="5" fillId="20" borderId="0" xfId="0" applyNumberFormat="1" applyFont="1" applyFill="1"/>
    <xf numFmtId="0" fontId="5" fillId="20" borderId="0" xfId="0" applyFont="1" applyFill="1"/>
    <xf numFmtId="0" fontId="5" fillId="26" borderId="9" xfId="0" applyFont="1" applyFill="1" applyBorder="1"/>
    <xf numFmtId="0" fontId="5" fillId="26" borderId="11" xfId="0" applyFont="1" applyFill="1" applyBorder="1"/>
    <xf numFmtId="0" fontId="5" fillId="26" borderId="10" xfId="0" applyFont="1" applyFill="1" applyBorder="1"/>
    <xf numFmtId="0" fontId="0" fillId="26" borderId="9" xfId="0" applyFill="1" applyBorder="1"/>
    <xf numFmtId="164" fontId="0" fillId="26" borderId="11" xfId="0" applyNumberFormat="1" applyFill="1" applyBorder="1"/>
    <xf numFmtId="164" fontId="5" fillId="26" borderId="0" xfId="0" applyNumberFormat="1" applyFont="1" applyFill="1"/>
    <xf numFmtId="0" fontId="5" fillId="12" borderId="9" xfId="0" applyFont="1" applyFill="1" applyBorder="1"/>
    <xf numFmtId="0" fontId="5" fillId="12" borderId="11" xfId="0" applyFont="1" applyFill="1" applyBorder="1"/>
    <xf numFmtId="0" fontId="5" fillId="12" borderId="10" xfId="0" applyFont="1" applyFill="1" applyBorder="1"/>
    <xf numFmtId="0" fontId="0" fillId="12" borderId="9" xfId="0" applyFill="1" applyBorder="1"/>
    <xf numFmtId="164" fontId="0" fillId="12" borderId="11" xfId="0" applyNumberFormat="1" applyFill="1" applyBorder="1"/>
    <xf numFmtId="165" fontId="0" fillId="12" borderId="10" xfId="0" applyNumberFormat="1" applyFill="1" applyBorder="1"/>
    <xf numFmtId="164" fontId="5" fillId="12" borderId="0" xfId="0" applyNumberFormat="1" applyFont="1" applyFill="1" applyBorder="1" applyAlignment="1">
      <alignment horizontal="right"/>
    </xf>
    <xf numFmtId="164" fontId="5" fillId="12" borderId="0" xfId="0" applyNumberFormat="1" applyFont="1" applyFill="1"/>
    <xf numFmtId="0" fontId="0" fillId="26" borderId="0" xfId="0" applyFill="1" applyAlignment="1">
      <alignment horizontal="right"/>
    </xf>
    <xf numFmtId="0" fontId="5" fillId="26" borderId="27" xfId="0" applyFont="1" applyFill="1" applyBorder="1" applyAlignment="1">
      <alignment horizontal="right"/>
    </xf>
    <xf numFmtId="0" fontId="5" fillId="26" borderId="29" xfId="0" applyFont="1" applyFill="1" applyBorder="1" applyAlignment="1">
      <alignment horizontal="right"/>
    </xf>
    <xf numFmtId="2" fontId="0" fillId="26" borderId="10" xfId="0" applyNumberFormat="1" applyFill="1" applyBorder="1"/>
    <xf numFmtId="2" fontId="0" fillId="26" borderId="12" xfId="0" applyNumberFormat="1" applyFill="1" applyBorder="1"/>
    <xf numFmtId="2" fontId="0" fillId="26" borderId="13" xfId="0" applyNumberFormat="1" applyFill="1" applyBorder="1"/>
    <xf numFmtId="2" fontId="0" fillId="26" borderId="15" xfId="0" applyNumberFormat="1" applyFill="1" applyBorder="1"/>
    <xf numFmtId="0" fontId="3" fillId="26" borderId="0" xfId="0" applyFont="1" applyFill="1"/>
    <xf numFmtId="2" fontId="0" fillId="26" borderId="0" xfId="0" applyNumberFormat="1" applyFill="1"/>
    <xf numFmtId="0" fontId="27" fillId="12" borderId="0" xfId="0" applyFont="1" applyFill="1"/>
    <xf numFmtId="0" fontId="27" fillId="26" borderId="0" xfId="0" applyFont="1" applyFill="1"/>
    <xf numFmtId="0" fontId="27" fillId="20" borderId="0" xfId="0" applyFont="1" applyFill="1"/>
    <xf numFmtId="0" fontId="5" fillId="26" borderId="14" xfId="0" applyFont="1" applyFill="1" applyBorder="1"/>
    <xf numFmtId="0" fontId="0" fillId="26" borderId="0" xfId="0" applyFill="1" applyBorder="1"/>
    <xf numFmtId="0" fontId="0" fillId="26" borderId="12" xfId="0" applyFill="1" applyBorder="1"/>
    <xf numFmtId="165" fontId="0" fillId="26" borderId="0" xfId="0" applyNumberFormat="1" applyFill="1" applyBorder="1"/>
    <xf numFmtId="0" fontId="5" fillId="18" borderId="9" xfId="0" applyFont="1" applyFill="1" applyBorder="1"/>
    <xf numFmtId="0" fontId="5" fillId="18" borderId="11" xfId="0" applyFont="1" applyFill="1" applyBorder="1"/>
    <xf numFmtId="0" fontId="5" fillId="18" borderId="10" xfId="0" applyFont="1" applyFill="1" applyBorder="1"/>
    <xf numFmtId="0" fontId="5" fillId="18" borderId="14" xfId="0" applyFont="1" applyFill="1" applyBorder="1"/>
    <xf numFmtId="0" fontId="0" fillId="18" borderId="0" xfId="0" applyFill="1" applyBorder="1"/>
    <xf numFmtId="0" fontId="0" fillId="18" borderId="12" xfId="0" applyFill="1" applyBorder="1"/>
    <xf numFmtId="165" fontId="0" fillId="18" borderId="0" xfId="0" applyNumberFormat="1" applyFill="1" applyBorder="1"/>
    <xf numFmtId="0" fontId="5" fillId="26" borderId="0" xfId="0" applyFont="1" applyFill="1" applyBorder="1"/>
    <xf numFmtId="164" fontId="5" fillId="26" borderId="0" xfId="0" applyNumberFormat="1" applyFont="1" applyFill="1" applyBorder="1"/>
    <xf numFmtId="164" fontId="5" fillId="26" borderId="12" xfId="0" applyNumberFormat="1" applyFont="1" applyFill="1" applyBorder="1"/>
    <xf numFmtId="0" fontId="5" fillId="26" borderId="13" xfId="0" applyFont="1" applyFill="1" applyBorder="1"/>
    <xf numFmtId="164" fontId="5" fillId="26" borderId="13" xfId="0" applyNumberFormat="1" applyFont="1" applyFill="1" applyBorder="1"/>
    <xf numFmtId="164" fontId="5" fillId="26" borderId="15" xfId="0" applyNumberFormat="1" applyFont="1" applyFill="1" applyBorder="1"/>
    <xf numFmtId="164" fontId="5" fillId="19" borderId="0" xfId="0" applyNumberFormat="1" applyFont="1" applyFill="1" applyBorder="1"/>
    <xf numFmtId="164" fontId="5" fillId="19" borderId="12" xfId="0" applyNumberFormat="1" applyFont="1" applyFill="1" applyBorder="1"/>
    <xf numFmtId="0" fontId="5" fillId="19" borderId="13" xfId="0" applyFont="1" applyFill="1" applyBorder="1"/>
    <xf numFmtId="164" fontId="5" fillId="19" borderId="13" xfId="0" applyNumberFormat="1" applyFont="1" applyFill="1" applyBorder="1"/>
    <xf numFmtId="164" fontId="5" fillId="19" borderId="15" xfId="0" applyNumberFormat="1" applyFont="1" applyFill="1" applyBorder="1"/>
    <xf numFmtId="9" fontId="0" fillId="18" borderId="14" xfId="5" applyFont="1" applyFill="1" applyBorder="1" applyAlignment="1">
      <alignment horizontal="left"/>
    </xf>
    <xf numFmtId="9" fontId="0" fillId="18" borderId="16" xfId="5" applyFont="1" applyFill="1" applyBorder="1" applyAlignment="1">
      <alignment horizontal="left"/>
    </xf>
    <xf numFmtId="0" fontId="5" fillId="18" borderId="0" xfId="0" applyFont="1" applyFill="1" applyBorder="1"/>
    <xf numFmtId="164" fontId="5" fillId="18" borderId="0" xfId="0" applyNumberFormat="1" applyFont="1" applyFill="1" applyBorder="1"/>
    <xf numFmtId="164" fontId="5" fillId="18" borderId="12" xfId="0" applyNumberFormat="1" applyFont="1" applyFill="1" applyBorder="1"/>
    <xf numFmtId="0" fontId="5" fillId="18" borderId="13" xfId="0" applyFont="1" applyFill="1" applyBorder="1"/>
    <xf numFmtId="164" fontId="5" fillId="18" borderId="13" xfId="0" applyNumberFormat="1" applyFont="1" applyFill="1" applyBorder="1"/>
    <xf numFmtId="164" fontId="5" fillId="18" borderId="15" xfId="0" applyNumberFormat="1" applyFont="1" applyFill="1" applyBorder="1"/>
    <xf numFmtId="2" fontId="0" fillId="0" borderId="0" xfId="0" applyNumberFormat="1" applyFill="1"/>
    <xf numFmtId="9" fontId="0" fillId="0" borderId="0" xfId="5" applyFont="1" applyFill="1" applyAlignment="1">
      <alignment horizontal="left"/>
    </xf>
    <xf numFmtId="0" fontId="0" fillId="19" borderId="0" xfId="0" applyFill="1" applyBorder="1" applyAlignment="1">
      <alignment horizontal="right"/>
    </xf>
    <xf numFmtId="0" fontId="0" fillId="19" borderId="12" xfId="0" applyFill="1" applyBorder="1" applyAlignment="1">
      <alignment horizontal="right"/>
    </xf>
    <xf numFmtId="165" fontId="0" fillId="19" borderId="0" xfId="0" applyNumberFormat="1" applyFill="1" applyBorder="1" applyAlignment="1">
      <alignment horizontal="right"/>
    </xf>
    <xf numFmtId="0" fontId="0" fillId="26" borderId="14" xfId="0" applyFill="1" applyBorder="1" applyAlignment="1">
      <alignment horizontal="right"/>
    </xf>
    <xf numFmtId="0" fontId="0" fillId="26" borderId="0" xfId="0" applyFill="1" applyBorder="1" applyAlignment="1">
      <alignment horizontal="right"/>
    </xf>
    <xf numFmtId="0" fontId="0" fillId="26" borderId="12" xfId="0" applyFill="1" applyBorder="1" applyAlignment="1">
      <alignment horizontal="right"/>
    </xf>
    <xf numFmtId="0" fontId="0" fillId="18" borderId="14" xfId="0" applyFill="1" applyBorder="1" applyAlignment="1">
      <alignment horizontal="right"/>
    </xf>
    <xf numFmtId="0" fontId="0" fillId="18" borderId="0" xfId="0" applyFill="1" applyBorder="1" applyAlignment="1">
      <alignment horizontal="right"/>
    </xf>
    <xf numFmtId="0" fontId="0" fillId="18" borderId="12" xfId="0" applyFill="1" applyBorder="1" applyAlignment="1">
      <alignment horizontal="right"/>
    </xf>
    <xf numFmtId="165" fontId="0" fillId="26" borderId="0" xfId="0" applyNumberFormat="1" applyFill="1" applyBorder="1" applyAlignment="1">
      <alignment horizontal="right"/>
    </xf>
    <xf numFmtId="165" fontId="0" fillId="18" borderId="0" xfId="0" applyNumberFormat="1" applyFill="1" applyBorder="1" applyAlignment="1">
      <alignment horizontal="right"/>
    </xf>
    <xf numFmtId="0" fontId="0" fillId="18" borderId="8" xfId="0" applyFill="1" applyBorder="1" applyAlignment="1">
      <alignment horizontal="right"/>
    </xf>
    <xf numFmtId="165" fontId="0" fillId="18" borderId="8" xfId="0" applyNumberFormat="1" applyFill="1" applyBorder="1" applyAlignment="1">
      <alignment horizontal="right"/>
    </xf>
    <xf numFmtId="0" fontId="0" fillId="18" borderId="20" xfId="0" applyFill="1" applyBorder="1"/>
    <xf numFmtId="165" fontId="0" fillId="18" borderId="20" xfId="0" applyNumberFormat="1" applyFill="1" applyBorder="1"/>
    <xf numFmtId="0" fontId="0" fillId="18" borderId="8" xfId="0" applyFill="1" applyBorder="1"/>
    <xf numFmtId="0" fontId="0" fillId="18" borderId="25" xfId="0" applyFill="1" applyBorder="1"/>
    <xf numFmtId="0" fontId="0" fillId="18" borderId="24" xfId="0" applyFill="1" applyBorder="1"/>
    <xf numFmtId="0" fontId="5" fillId="19" borderId="0" xfId="0" applyFont="1" applyFill="1" applyBorder="1" applyAlignment="1">
      <alignment horizontal="right"/>
    </xf>
    <xf numFmtId="0" fontId="5" fillId="4" borderId="0" xfId="0" applyFont="1" applyFill="1" applyBorder="1" applyAlignment="1">
      <alignment horizontal="right"/>
    </xf>
    <xf numFmtId="0" fontId="5" fillId="18" borderId="20" xfId="0" applyFont="1" applyFill="1" applyBorder="1" applyAlignment="1">
      <alignment horizontal="right"/>
    </xf>
    <xf numFmtId="0" fontId="5" fillId="26" borderId="22" xfId="0" applyFont="1" applyFill="1" applyBorder="1" applyAlignment="1">
      <alignment horizontal="right"/>
    </xf>
    <xf numFmtId="0" fontId="0" fillId="26" borderId="8" xfId="0" applyFill="1" applyBorder="1" applyAlignment="1">
      <alignment horizontal="right"/>
    </xf>
    <xf numFmtId="165" fontId="0" fillId="26" borderId="8" xfId="0" applyNumberFormat="1" applyFill="1" applyBorder="1" applyAlignment="1">
      <alignment horizontal="right"/>
    </xf>
    <xf numFmtId="0" fontId="0" fillId="26" borderId="20" xfId="0" applyFill="1" applyBorder="1"/>
    <xf numFmtId="165" fontId="0" fillId="26" borderId="20" xfId="0" applyNumberFormat="1" applyFill="1" applyBorder="1"/>
    <xf numFmtId="0" fontId="0" fillId="26" borderId="8" xfId="0" applyFill="1" applyBorder="1"/>
    <xf numFmtId="0" fontId="0" fillId="26" borderId="25" xfId="0" applyFill="1" applyBorder="1"/>
    <xf numFmtId="0" fontId="0" fillId="26" borderId="24" xfId="0" applyFill="1" applyBorder="1"/>
    <xf numFmtId="0" fontId="0" fillId="19" borderId="25" xfId="0" applyFill="1" applyBorder="1"/>
    <xf numFmtId="0" fontId="0" fillId="19" borderId="24" xfId="0" applyFill="1" applyBorder="1"/>
    <xf numFmtId="0" fontId="0" fillId="19" borderId="8" xfId="0" applyFill="1" applyBorder="1" applyAlignment="1">
      <alignment horizontal="right"/>
    </xf>
    <xf numFmtId="165" fontId="0" fillId="19" borderId="8" xfId="0" applyNumberFormat="1" applyFill="1" applyBorder="1" applyAlignment="1">
      <alignment horizontal="right"/>
    </xf>
    <xf numFmtId="0" fontId="0" fillId="18" borderId="20" xfId="0" applyFill="1" applyBorder="1" applyAlignment="1">
      <alignment horizontal="right"/>
    </xf>
    <xf numFmtId="0" fontId="3" fillId="0" borderId="0" xfId="0" applyFont="1" applyAlignment="1">
      <alignment vertical="top" wrapText="1"/>
    </xf>
    <xf numFmtId="164" fontId="3" fillId="10" borderId="1" xfId="0" applyNumberFormat="1" applyFont="1" applyFill="1" applyBorder="1"/>
    <xf numFmtId="164" fontId="0" fillId="10" borderId="33" xfId="0" applyNumberFormat="1" applyFill="1" applyBorder="1"/>
    <xf numFmtId="164" fontId="0" fillId="10" borderId="34" xfId="0" applyNumberFormat="1" applyFill="1" applyBorder="1"/>
    <xf numFmtId="164" fontId="0" fillId="10" borderId="35" xfId="0" applyNumberFormat="1" applyFill="1" applyBorder="1"/>
    <xf numFmtId="164" fontId="0" fillId="11" borderId="13" xfId="0" applyNumberFormat="1" applyFill="1" applyBorder="1"/>
    <xf numFmtId="164" fontId="0" fillId="11" borderId="11" xfId="0" applyNumberFormat="1" applyFill="1" applyBorder="1"/>
    <xf numFmtId="0" fontId="0" fillId="11" borderId="0" xfId="0" applyFill="1" applyBorder="1" applyAlignment="1">
      <alignment horizontal="right"/>
    </xf>
    <xf numFmtId="0" fontId="0" fillId="11" borderId="13" xfId="0" applyFill="1" applyBorder="1" applyAlignment="1">
      <alignment horizontal="right"/>
    </xf>
    <xf numFmtId="0" fontId="5" fillId="0" borderId="0" xfId="0" applyFont="1" applyFill="1" applyBorder="1" applyAlignment="1">
      <alignment horizontal="right"/>
    </xf>
    <xf numFmtId="164" fontId="0" fillId="0" borderId="0" xfId="0" applyNumberFormat="1" applyFill="1" applyBorder="1"/>
    <xf numFmtId="0" fontId="0" fillId="0" borderId="0" xfId="0" applyFill="1" applyBorder="1" applyAlignment="1">
      <alignment horizontal="right"/>
    </xf>
    <xf numFmtId="169" fontId="3" fillId="15" borderId="0" xfId="0" applyNumberFormat="1" applyFont="1" applyFill="1"/>
    <xf numFmtId="0" fontId="3" fillId="0" borderId="9" xfId="1" applyFill="1" applyBorder="1"/>
    <xf numFmtId="0" fontId="3" fillId="0" borderId="11" xfId="1" applyFill="1" applyBorder="1"/>
    <xf numFmtId="0" fontId="3" fillId="0" borderId="10" xfId="1" applyFill="1" applyBorder="1"/>
    <xf numFmtId="0" fontId="3" fillId="0" borderId="14" xfId="1" applyBorder="1" applyAlignment="1">
      <alignment horizontal="right"/>
    </xf>
    <xf numFmtId="2" fontId="3" fillId="0" borderId="0" xfId="1" applyNumberFormat="1" applyBorder="1"/>
    <xf numFmtId="0" fontId="3" fillId="0" borderId="16" xfId="1" applyFill="1" applyBorder="1"/>
    <xf numFmtId="0" fontId="3" fillId="0" borderId="15" xfId="1" applyFill="1" applyBorder="1"/>
    <xf numFmtId="2" fontId="3" fillId="7" borderId="0" xfId="1" applyNumberFormat="1" applyFill="1" applyBorder="1"/>
    <xf numFmtId="0" fontId="3" fillId="27" borderId="14" xfId="1" applyFill="1" applyBorder="1"/>
    <xf numFmtId="0" fontId="3" fillId="27" borderId="0" xfId="1" applyFill="1" applyBorder="1" applyAlignment="1">
      <alignment horizontal="right"/>
    </xf>
    <xf numFmtId="0" fontId="5" fillId="0" borderId="13" xfId="0" applyFont="1" applyBorder="1" applyAlignment="1">
      <alignment horizontal="center"/>
    </xf>
    <xf numFmtId="0" fontId="3" fillId="0" borderId="0" xfId="0" applyFont="1" applyAlignment="1">
      <alignment horizontal="center" vertical="top" wrapText="1"/>
    </xf>
    <xf numFmtId="0" fontId="3" fillId="13" borderId="0" xfId="0" applyFont="1" applyFill="1" applyAlignment="1">
      <alignment horizontal="left" vertical="top" wrapText="1"/>
    </xf>
    <xf numFmtId="0" fontId="5" fillId="0" borderId="0" xfId="0" applyFont="1" applyBorder="1" applyAlignment="1">
      <alignment horizontal="center"/>
    </xf>
    <xf numFmtId="0" fontId="5" fillId="0" borderId="27" xfId="0" applyFont="1" applyBorder="1" applyAlignment="1">
      <alignment horizontal="center"/>
    </xf>
    <xf numFmtId="0" fontId="5" fillId="0" borderId="30" xfId="0" applyFont="1" applyBorder="1" applyAlignment="1">
      <alignment horizontal="center"/>
    </xf>
    <xf numFmtId="0" fontId="5" fillId="0" borderId="0" xfId="0" applyFont="1" applyAlignment="1">
      <alignment horizontal="center"/>
    </xf>
    <xf numFmtId="0" fontId="23" fillId="20" borderId="1" xfId="3" applyFont="1" applyFill="1" applyBorder="1" applyAlignment="1">
      <alignment horizontal="center"/>
    </xf>
    <xf numFmtId="0" fontId="5" fillId="14" borderId="23" xfId="0" applyFont="1" applyFill="1" applyBorder="1" applyAlignment="1">
      <alignment horizontal="center"/>
    </xf>
    <xf numFmtId="0" fontId="5" fillId="14" borderId="22" xfId="0" applyFont="1" applyFill="1" applyBorder="1" applyAlignment="1">
      <alignment horizontal="center"/>
    </xf>
    <xf numFmtId="0" fontId="5" fillId="14" borderId="21" xfId="0" applyFont="1" applyFill="1" applyBorder="1" applyAlignment="1">
      <alignment horizontal="center"/>
    </xf>
    <xf numFmtId="0" fontId="17" fillId="20" borderId="1" xfId="3" applyFont="1" applyFill="1" applyBorder="1" applyAlignment="1">
      <alignment horizontal="center"/>
    </xf>
    <xf numFmtId="0" fontId="5" fillId="5" borderId="4" xfId="0" applyFont="1" applyFill="1" applyBorder="1" applyAlignment="1">
      <alignment horizontal="center"/>
    </xf>
    <xf numFmtId="0" fontId="5" fillId="5" borderId="0" xfId="0" applyFont="1" applyFill="1" applyBorder="1" applyAlignment="1">
      <alignment horizontal="center"/>
    </xf>
    <xf numFmtId="0" fontId="5" fillId="19" borderId="4" xfId="0" applyFont="1" applyFill="1" applyBorder="1" applyAlignment="1">
      <alignment horizontal="center"/>
    </xf>
    <xf numFmtId="0" fontId="5" fillId="19" borderId="0" xfId="0" applyFont="1" applyFill="1" applyBorder="1" applyAlignment="1">
      <alignment horizontal="center"/>
    </xf>
    <xf numFmtId="0" fontId="5" fillId="19" borderId="6" xfId="0" applyFont="1" applyFill="1" applyBorder="1" applyAlignment="1">
      <alignment horizontal="center"/>
    </xf>
    <xf numFmtId="0" fontId="5" fillId="19" borderId="20" xfId="0" applyFont="1" applyFill="1" applyBorder="1" applyAlignment="1">
      <alignment horizontal="center"/>
    </xf>
    <xf numFmtId="0" fontId="3" fillId="19" borderId="0" xfId="0" applyFont="1" applyFill="1" applyBorder="1" applyAlignment="1">
      <alignment horizontal="left" wrapText="1"/>
    </xf>
    <xf numFmtId="0" fontId="0" fillId="19" borderId="0" xfId="0" applyFill="1" applyBorder="1" applyAlignment="1">
      <alignment horizontal="left" wrapText="1"/>
    </xf>
    <xf numFmtId="0" fontId="3" fillId="0" borderId="0" xfId="0" applyFont="1" applyAlignment="1">
      <alignment horizontal="left" vertical="top" wrapText="1"/>
    </xf>
    <xf numFmtId="0" fontId="0" fillId="0" borderId="0" xfId="0" applyAlignment="1">
      <alignment horizontal="left" vertical="top" wrapText="1"/>
    </xf>
    <xf numFmtId="165" fontId="17" fillId="0" borderId="23" xfId="3" applyNumberFormat="1" applyFont="1" applyBorder="1" applyAlignment="1">
      <alignment horizontal="center"/>
    </xf>
    <xf numFmtId="165" fontId="17" fillId="0" borderId="22" xfId="3" applyNumberFormat="1" applyFont="1" applyBorder="1" applyAlignment="1">
      <alignment horizontal="center"/>
    </xf>
    <xf numFmtId="0" fontId="2" fillId="0" borderId="21" xfId="3" applyBorder="1" applyAlignment="1">
      <alignment horizontal="center"/>
    </xf>
    <xf numFmtId="0" fontId="17" fillId="0" borderId="1" xfId="3" applyFont="1" applyBorder="1" applyAlignment="1">
      <alignment horizontal="center"/>
    </xf>
    <xf numFmtId="165" fontId="17" fillId="0" borderId="1" xfId="3" applyNumberFormat="1" applyFont="1" applyBorder="1" applyAlignment="1">
      <alignment horizontal="center"/>
    </xf>
    <xf numFmtId="165" fontId="17" fillId="0" borderId="17" xfId="3" applyNumberFormat="1" applyFont="1" applyBorder="1" applyAlignment="1">
      <alignment horizontal="center"/>
    </xf>
    <xf numFmtId="165" fontId="17" fillId="0" borderId="21" xfId="3" applyNumberFormat="1" applyFont="1" applyBorder="1" applyAlignment="1">
      <alignment horizontal="center"/>
    </xf>
    <xf numFmtId="0" fontId="5" fillId="19" borderId="14" xfId="0" applyFont="1" applyFill="1" applyBorder="1" applyAlignment="1">
      <alignment horizontal="right"/>
    </xf>
    <xf numFmtId="0" fontId="5" fillId="19" borderId="12" xfId="0" applyFont="1" applyFill="1" applyBorder="1" applyAlignment="1">
      <alignment horizontal="right"/>
    </xf>
  </cellXfs>
  <cellStyles count="6">
    <cellStyle name="Lien hypertexte" xfId="4" builtinId="8"/>
    <cellStyle name="Normal" xfId="0" builtinId="0"/>
    <cellStyle name="Normal 2" xfId="1" xr:uid="{00000000-0005-0000-0000-000002000000}"/>
    <cellStyle name="Normal 3" xfId="2" xr:uid="{00000000-0005-0000-0000-000003000000}"/>
    <cellStyle name="Normal 4" xfId="3" xr:uid="{00000000-0005-0000-0000-000004000000}"/>
    <cellStyle name="Pourcentage"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Valeur en bloc /ha</a:t>
            </a:r>
          </a:p>
        </c:rich>
      </c:tx>
      <c:layout>
        <c:manualLayout>
          <c:xMode val="edge"/>
          <c:yMode val="edge"/>
          <c:x val="0.3019860017497813"/>
          <c:y val="1.9433163688445072E-2"/>
        </c:manualLayout>
      </c:layout>
      <c:overlay val="0"/>
    </c:title>
    <c:autoTitleDeleted val="0"/>
    <c:plotArea>
      <c:layout/>
      <c:scatterChart>
        <c:scatterStyle val="smoothMarker"/>
        <c:varyColors val="0"/>
        <c:ser>
          <c:idx val="0"/>
          <c:order val="0"/>
          <c:tx>
            <c:v>Valeur en bloc</c:v>
          </c:tx>
          <c:marker>
            <c:symbol val="none"/>
          </c:marker>
          <c:xVal>
            <c:numRef>
              <c:f>exercice_2!$L$24:$L$97</c:f>
              <c:numCache>
                <c:formatCode>General</c:formatCode>
                <c:ptCount val="74"/>
                <c:pt idx="0">
                  <c:v>0</c:v>
                </c:pt>
                <c:pt idx="1">
                  <c:v>0</c:v>
                </c:pt>
                <c:pt idx="2">
                  <c:v>1</c:v>
                </c:pt>
                <c:pt idx="3">
                  <c:v>1</c:v>
                </c:pt>
                <c:pt idx="4">
                  <c:v>2</c:v>
                </c:pt>
                <c:pt idx="5">
                  <c:v>2</c:v>
                </c:pt>
                <c:pt idx="6">
                  <c:v>3</c:v>
                </c:pt>
                <c:pt idx="7">
                  <c:v>4</c:v>
                </c:pt>
                <c:pt idx="8">
                  <c:v>5</c:v>
                </c:pt>
                <c:pt idx="9">
                  <c:v>6</c:v>
                </c:pt>
                <c:pt idx="10">
                  <c:v>7</c:v>
                </c:pt>
                <c:pt idx="11">
                  <c:v>8</c:v>
                </c:pt>
                <c:pt idx="12">
                  <c:v>9</c:v>
                </c:pt>
                <c:pt idx="13">
                  <c:v>10</c:v>
                </c:pt>
                <c:pt idx="14">
                  <c:v>11</c:v>
                </c:pt>
                <c:pt idx="15">
                  <c:v>12</c:v>
                </c:pt>
                <c:pt idx="16">
                  <c:v>13</c:v>
                </c:pt>
                <c:pt idx="17">
                  <c:v>14</c:v>
                </c:pt>
                <c:pt idx="18">
                  <c:v>15</c:v>
                </c:pt>
                <c:pt idx="19">
                  <c:v>16</c:v>
                </c:pt>
                <c:pt idx="20">
                  <c:v>17</c:v>
                </c:pt>
                <c:pt idx="21">
                  <c:v>18</c:v>
                </c:pt>
                <c:pt idx="22">
                  <c:v>19</c:v>
                </c:pt>
                <c:pt idx="23">
                  <c:v>19</c:v>
                </c:pt>
                <c:pt idx="24">
                  <c:v>20</c:v>
                </c:pt>
                <c:pt idx="25">
                  <c:v>20</c:v>
                </c:pt>
                <c:pt idx="26">
                  <c:v>21</c:v>
                </c:pt>
                <c:pt idx="27">
                  <c:v>21</c:v>
                </c:pt>
                <c:pt idx="28">
                  <c:v>22</c:v>
                </c:pt>
                <c:pt idx="29">
                  <c:v>23</c:v>
                </c:pt>
                <c:pt idx="30">
                  <c:v>24</c:v>
                </c:pt>
                <c:pt idx="31">
                  <c:v>25</c:v>
                </c:pt>
                <c:pt idx="32">
                  <c:v>25</c:v>
                </c:pt>
                <c:pt idx="33">
                  <c:v>26</c:v>
                </c:pt>
                <c:pt idx="34">
                  <c:v>27</c:v>
                </c:pt>
                <c:pt idx="35">
                  <c:v>28</c:v>
                </c:pt>
                <c:pt idx="36">
                  <c:v>29</c:v>
                </c:pt>
                <c:pt idx="37">
                  <c:v>30</c:v>
                </c:pt>
                <c:pt idx="38">
                  <c:v>30</c:v>
                </c:pt>
                <c:pt idx="39">
                  <c:v>31</c:v>
                </c:pt>
                <c:pt idx="40">
                  <c:v>32</c:v>
                </c:pt>
                <c:pt idx="41">
                  <c:v>33</c:v>
                </c:pt>
                <c:pt idx="42">
                  <c:v>34</c:v>
                </c:pt>
                <c:pt idx="43">
                  <c:v>35</c:v>
                </c:pt>
                <c:pt idx="44">
                  <c:v>35</c:v>
                </c:pt>
                <c:pt idx="45">
                  <c:v>36</c:v>
                </c:pt>
                <c:pt idx="46">
                  <c:v>37</c:v>
                </c:pt>
                <c:pt idx="47">
                  <c:v>38</c:v>
                </c:pt>
                <c:pt idx="48">
                  <c:v>39</c:v>
                </c:pt>
                <c:pt idx="49">
                  <c:v>40</c:v>
                </c:pt>
                <c:pt idx="50">
                  <c:v>40</c:v>
                </c:pt>
                <c:pt idx="51">
                  <c:v>41</c:v>
                </c:pt>
                <c:pt idx="52">
                  <c:v>42</c:v>
                </c:pt>
                <c:pt idx="53">
                  <c:v>43</c:v>
                </c:pt>
                <c:pt idx="54">
                  <c:v>44</c:v>
                </c:pt>
                <c:pt idx="55">
                  <c:v>45</c:v>
                </c:pt>
                <c:pt idx="56">
                  <c:v>45</c:v>
                </c:pt>
                <c:pt idx="57">
                  <c:v>46</c:v>
                </c:pt>
                <c:pt idx="58">
                  <c:v>47</c:v>
                </c:pt>
                <c:pt idx="59">
                  <c:v>48</c:v>
                </c:pt>
                <c:pt idx="60">
                  <c:v>49</c:v>
                </c:pt>
                <c:pt idx="61">
                  <c:v>50</c:v>
                </c:pt>
                <c:pt idx="62">
                  <c:v>50</c:v>
                </c:pt>
                <c:pt idx="63">
                  <c:v>51</c:v>
                </c:pt>
                <c:pt idx="64">
                  <c:v>52</c:v>
                </c:pt>
                <c:pt idx="65">
                  <c:v>53</c:v>
                </c:pt>
                <c:pt idx="66">
                  <c:v>54</c:v>
                </c:pt>
                <c:pt idx="67">
                  <c:v>55</c:v>
                </c:pt>
                <c:pt idx="68">
                  <c:v>56</c:v>
                </c:pt>
                <c:pt idx="69">
                  <c:v>57</c:v>
                </c:pt>
                <c:pt idx="70">
                  <c:v>58</c:v>
                </c:pt>
                <c:pt idx="71">
                  <c:v>59</c:v>
                </c:pt>
                <c:pt idx="72">
                  <c:v>60</c:v>
                </c:pt>
                <c:pt idx="73">
                  <c:v>60</c:v>
                </c:pt>
              </c:numCache>
            </c:numRef>
          </c:xVal>
          <c:yVal>
            <c:numRef>
              <c:f>exercice_2!$N$24:$N$97</c:f>
              <c:numCache>
                <c:formatCode>0.0</c:formatCode>
                <c:ptCount val="74"/>
                <c:pt idx="0">
                  <c:v>4437.9192646573038</c:v>
                </c:pt>
                <c:pt idx="1">
                  <c:v>7237.9192646573038</c:v>
                </c:pt>
                <c:pt idx="2">
                  <c:v>7440.5810040677088</c:v>
                </c:pt>
                <c:pt idx="3">
                  <c:v>7840.5810040677088</c:v>
                </c:pt>
                <c:pt idx="4">
                  <c:v>8060.1172721816047</c:v>
                </c:pt>
                <c:pt idx="5">
                  <c:v>8460.1172721816038</c:v>
                </c:pt>
                <c:pt idx="6">
                  <c:v>8697.0005558026896</c:v>
                </c:pt>
                <c:pt idx="7">
                  <c:v>8940.5165713651659</c:v>
                </c:pt>
                <c:pt idx="8">
                  <c:v>9190.8510353633901</c:v>
                </c:pt>
                <c:pt idx="9">
                  <c:v>9448.1948643535652</c:v>
                </c:pt>
                <c:pt idx="10">
                  <c:v>9712.7443205554646</c:v>
                </c:pt>
                <c:pt idx="11">
                  <c:v>9984.7011615310184</c:v>
                </c:pt>
                <c:pt idx="12">
                  <c:v>10264.272794053888</c:v>
                </c:pt>
                <c:pt idx="13">
                  <c:v>10551.672432287398</c:v>
                </c:pt>
                <c:pt idx="14">
                  <c:v>10847.119260391446</c:v>
                </c:pt>
                <c:pt idx="15">
                  <c:v>11150.838599682407</c:v>
                </c:pt>
                <c:pt idx="16">
                  <c:v>11463.062080473515</c:v>
                </c:pt>
                <c:pt idx="17">
                  <c:v>11784.027818726774</c:v>
                </c:pt>
                <c:pt idx="18">
                  <c:v>12113.980597651123</c:v>
                </c:pt>
                <c:pt idx="19">
                  <c:v>12453.172054385355</c:v>
                </c:pt>
                <c:pt idx="20">
                  <c:v>12801.860871908146</c:v>
                </c:pt>
                <c:pt idx="21">
                  <c:v>13160.312976321575</c:v>
                </c:pt>
                <c:pt idx="22">
                  <c:v>13528.801739658578</c:v>
                </c:pt>
                <c:pt idx="23">
                  <c:v>15428.801739658578</c:v>
                </c:pt>
                <c:pt idx="24">
                  <c:v>15860.808188369019</c:v>
                </c:pt>
                <c:pt idx="25">
                  <c:v>15810.808188369019</c:v>
                </c:pt>
                <c:pt idx="26">
                  <c:v>16253.510817643351</c:v>
                </c:pt>
                <c:pt idx="27">
                  <c:v>17153.51081764335</c:v>
                </c:pt>
                <c:pt idx="28">
                  <c:v>17633.809120537364</c:v>
                </c:pt>
                <c:pt idx="29">
                  <c:v>18127.555775912409</c:v>
                </c:pt>
                <c:pt idx="30">
                  <c:v>18635.127337637958</c:v>
                </c:pt>
                <c:pt idx="31">
                  <c:v>19156.910903091823</c:v>
                </c:pt>
                <c:pt idx="32">
                  <c:v>18956.910903091823</c:v>
                </c:pt>
                <c:pt idx="33">
                  <c:v>19487.704408378395</c:v>
                </c:pt>
                <c:pt idx="34">
                  <c:v>20033.360131812991</c:v>
                </c:pt>
                <c:pt idx="35">
                  <c:v>20594.294215503756</c:v>
                </c:pt>
                <c:pt idx="36">
                  <c:v>21170.934453537862</c:v>
                </c:pt>
                <c:pt idx="37">
                  <c:v>21763.720618236923</c:v>
                </c:pt>
                <c:pt idx="38">
                  <c:v>21563.720618236923</c:v>
                </c:pt>
                <c:pt idx="39">
                  <c:v>22167.504795547557</c:v>
                </c:pt>
                <c:pt idx="40">
                  <c:v>22788.19492982289</c:v>
                </c:pt>
                <c:pt idx="41">
                  <c:v>23426.264387857933</c:v>
                </c:pt>
                <c:pt idx="42">
                  <c:v>24082.199790717954</c:v>
                </c:pt>
                <c:pt idx="43">
                  <c:v>24756.501384858057</c:v>
                </c:pt>
                <c:pt idx="44">
                  <c:v>24256.501384858057</c:v>
                </c:pt>
                <c:pt idx="45">
                  <c:v>24935.683423634084</c:v>
                </c:pt>
                <c:pt idx="46">
                  <c:v>25633.88255949584</c:v>
                </c:pt>
                <c:pt idx="47">
                  <c:v>26351.631271161725</c:v>
                </c:pt>
                <c:pt idx="48">
                  <c:v>27089.476946754254</c:v>
                </c:pt>
                <c:pt idx="49">
                  <c:v>27847.982301263375</c:v>
                </c:pt>
                <c:pt idx="50">
                  <c:v>26847.982301263375</c:v>
                </c:pt>
                <c:pt idx="51">
                  <c:v>27599.725805698752</c:v>
                </c:pt>
                <c:pt idx="52">
                  <c:v>28372.518128258318</c:v>
                </c:pt>
                <c:pt idx="53">
                  <c:v>29166.948635849552</c:v>
                </c:pt>
                <c:pt idx="54">
                  <c:v>29983.623197653342</c:v>
                </c:pt>
                <c:pt idx="55">
                  <c:v>30823.164647187637</c:v>
                </c:pt>
                <c:pt idx="56">
                  <c:v>29823.164647187637</c:v>
                </c:pt>
                <c:pt idx="57">
                  <c:v>30658.213257308893</c:v>
                </c:pt>
                <c:pt idx="58">
                  <c:v>31516.643228513542</c:v>
                </c:pt>
                <c:pt idx="59">
                  <c:v>32399.109238911922</c:v>
                </c:pt>
                <c:pt idx="60">
                  <c:v>33306.284297601458</c:v>
                </c:pt>
                <c:pt idx="61">
                  <c:v>34238.860257934299</c:v>
                </c:pt>
                <c:pt idx="62">
                  <c:v>31438.860257934299</c:v>
                </c:pt>
                <c:pt idx="63">
                  <c:v>32319.14834515646</c:v>
                </c:pt>
                <c:pt idx="64">
                  <c:v>33224.084498820841</c:v>
                </c:pt>
                <c:pt idx="65">
                  <c:v>34154.358864787828</c:v>
                </c:pt>
                <c:pt idx="66">
                  <c:v>35110.680913001888</c:v>
                </c:pt>
                <c:pt idx="67">
                  <c:v>36093.779978565944</c:v>
                </c:pt>
                <c:pt idx="68">
                  <c:v>37104.405817965795</c:v>
                </c:pt>
                <c:pt idx="69">
                  <c:v>38143.329180868837</c:v>
                </c:pt>
                <c:pt idx="70">
                  <c:v>39211.342397933164</c:v>
                </c:pt>
                <c:pt idx="71">
                  <c:v>40309.259985075296</c:v>
                </c:pt>
                <c:pt idx="72">
                  <c:v>41437.919264657408</c:v>
                </c:pt>
                <c:pt idx="73">
                  <c:v>4437.9192646574083</c:v>
                </c:pt>
              </c:numCache>
            </c:numRef>
          </c:yVal>
          <c:smooth val="1"/>
          <c:extLst>
            <c:ext xmlns:c16="http://schemas.microsoft.com/office/drawing/2014/chart" uri="{C3380CC4-5D6E-409C-BE32-E72D297353CC}">
              <c16:uniqueId val="{00000000-D00E-4C36-B2D1-77B6EF05DC95}"/>
            </c:ext>
          </c:extLst>
        </c:ser>
        <c:dLbls>
          <c:showLegendKey val="0"/>
          <c:showVal val="0"/>
          <c:showCatName val="0"/>
          <c:showSerName val="0"/>
          <c:showPercent val="0"/>
          <c:showBubbleSize val="0"/>
        </c:dLbls>
        <c:axId val="2069746304"/>
        <c:axId val="2069744672"/>
      </c:scatterChart>
      <c:valAx>
        <c:axId val="2069746304"/>
        <c:scaling>
          <c:orientation val="minMax"/>
        </c:scaling>
        <c:delete val="0"/>
        <c:axPos val="b"/>
        <c:numFmt formatCode="General" sourceLinked="1"/>
        <c:majorTickMark val="out"/>
        <c:minorTickMark val="none"/>
        <c:tickLblPos val="nextTo"/>
        <c:crossAx val="2069744672"/>
        <c:crosses val="autoZero"/>
        <c:crossBetween val="midCat"/>
      </c:valAx>
      <c:valAx>
        <c:axId val="2069744672"/>
        <c:scaling>
          <c:orientation val="minMax"/>
        </c:scaling>
        <c:delete val="0"/>
        <c:axPos val="l"/>
        <c:numFmt formatCode="0.0" sourceLinked="1"/>
        <c:majorTickMark val="out"/>
        <c:minorTickMark val="none"/>
        <c:tickLblPos val="nextTo"/>
        <c:crossAx val="2069746304"/>
        <c:crosses val="autoZero"/>
        <c:crossBetween val="midCat"/>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smoothMarker"/>
        <c:varyColors val="0"/>
        <c:ser>
          <c:idx val="0"/>
          <c:order val="0"/>
          <c:tx>
            <c:v>BASI</c:v>
          </c:tx>
          <c:xVal>
            <c:numRef>
              <c:f>exercice_4!$N$40:$Y$40</c:f>
              <c:numCache>
                <c:formatCode>General</c:formatCode>
                <c:ptCount val="12"/>
                <c:pt idx="0">
                  <c:v>83</c:v>
                </c:pt>
                <c:pt idx="1">
                  <c:v>77</c:v>
                </c:pt>
                <c:pt idx="2">
                  <c:v>71</c:v>
                </c:pt>
                <c:pt idx="3">
                  <c:v>65</c:v>
                </c:pt>
                <c:pt idx="4">
                  <c:v>59</c:v>
                </c:pt>
                <c:pt idx="5">
                  <c:v>53</c:v>
                </c:pt>
                <c:pt idx="6">
                  <c:v>47</c:v>
                </c:pt>
                <c:pt idx="7">
                  <c:v>41</c:v>
                </c:pt>
                <c:pt idx="8">
                  <c:v>35</c:v>
                </c:pt>
                <c:pt idx="9">
                  <c:v>29</c:v>
                </c:pt>
                <c:pt idx="10">
                  <c:v>23</c:v>
                </c:pt>
                <c:pt idx="11">
                  <c:v>17</c:v>
                </c:pt>
              </c:numCache>
            </c:numRef>
          </c:xVal>
          <c:yVal>
            <c:numRef>
              <c:f>exercice_4!$N$82:$Y$82</c:f>
              <c:numCache>
                <c:formatCode>0.00</c:formatCode>
                <c:ptCount val="12"/>
                <c:pt idx="0">
                  <c:v>4932.0479973263691</c:v>
                </c:pt>
                <c:pt idx="1">
                  <c:v>5151.3634868373811</c:v>
                </c:pt>
                <c:pt idx="2">
                  <c:v>5383.9055307272974</c:v>
                </c:pt>
                <c:pt idx="3">
                  <c:v>5603.4487346917385</c:v>
                </c:pt>
                <c:pt idx="4">
                  <c:v>5777.4956303277477</c:v>
                </c:pt>
                <c:pt idx="5">
                  <c:v>5855.1608740461734</c:v>
                </c:pt>
                <c:pt idx="6">
                  <c:v>5746.5400121139965</c:v>
                </c:pt>
                <c:pt idx="7">
                  <c:v>5270.3340122471927</c:v>
                </c:pt>
                <c:pt idx="8">
                  <c:v>4176.5794398927337</c:v>
                </c:pt>
                <c:pt idx="9">
                  <c:v>1984.2025190851534</c:v>
                </c:pt>
                <c:pt idx="10">
                  <c:v>-1604.3787526121323</c:v>
                </c:pt>
                <c:pt idx="11">
                  <c:v>-4350.0329391825935</c:v>
                </c:pt>
              </c:numCache>
            </c:numRef>
          </c:yVal>
          <c:smooth val="1"/>
          <c:extLst>
            <c:ext xmlns:c16="http://schemas.microsoft.com/office/drawing/2014/chart" uri="{C3380CC4-5D6E-409C-BE32-E72D297353CC}">
              <c16:uniqueId val="{00000000-8898-49C1-B7A8-6284426DD9A0}"/>
            </c:ext>
          </c:extLst>
        </c:ser>
        <c:dLbls>
          <c:showLegendKey val="0"/>
          <c:showVal val="0"/>
          <c:showCatName val="0"/>
          <c:showSerName val="0"/>
          <c:showPercent val="0"/>
          <c:showBubbleSize val="0"/>
        </c:dLbls>
        <c:axId val="2069750656"/>
        <c:axId val="2069738144"/>
      </c:scatterChart>
      <c:valAx>
        <c:axId val="2069750656"/>
        <c:scaling>
          <c:orientation val="minMax"/>
        </c:scaling>
        <c:delete val="0"/>
        <c:axPos val="b"/>
        <c:title>
          <c:tx>
            <c:rich>
              <a:bodyPr/>
              <a:lstStyle/>
              <a:p>
                <a:pPr>
                  <a:defRPr/>
                </a:pPr>
                <a:r>
                  <a:rPr lang="fr-BE"/>
                  <a:t>Année de MAB</a:t>
                </a:r>
              </a:p>
            </c:rich>
          </c:tx>
          <c:overlay val="0"/>
        </c:title>
        <c:numFmt formatCode="General" sourceLinked="1"/>
        <c:majorTickMark val="none"/>
        <c:minorTickMark val="none"/>
        <c:tickLblPos val="nextTo"/>
        <c:crossAx val="2069738144"/>
        <c:crosses val="autoZero"/>
        <c:crossBetween val="midCat"/>
      </c:valAx>
      <c:valAx>
        <c:axId val="2069738144"/>
        <c:scaling>
          <c:orientation val="minMax"/>
        </c:scaling>
        <c:delete val="0"/>
        <c:axPos val="l"/>
        <c:majorGridlines/>
        <c:title>
          <c:tx>
            <c:rich>
              <a:bodyPr/>
              <a:lstStyle/>
              <a:p>
                <a:pPr>
                  <a:defRPr/>
                </a:pPr>
                <a:r>
                  <a:rPr lang="fr-BE"/>
                  <a:t>BASI</a:t>
                </a:r>
              </a:p>
            </c:rich>
          </c:tx>
          <c:overlay val="0"/>
        </c:title>
        <c:numFmt formatCode="0.00" sourceLinked="1"/>
        <c:majorTickMark val="none"/>
        <c:minorTickMark val="none"/>
        <c:tickLblPos val="nextTo"/>
        <c:crossAx val="2069750656"/>
        <c:crosses val="autoZero"/>
        <c:crossBetween val="midCat"/>
      </c:valAx>
    </c:plotArea>
    <c:plotVisOnly val="1"/>
    <c:dispBlanksAs val="gap"/>
    <c:showDLblsOverMax val="0"/>
  </c:chart>
  <c:printSettings>
    <c:headerFooter/>
    <c:pageMargins b="0.75" l="0.7" r="0.7" t="0.75" header="0.3" footer="0.3"/>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smoothMarker"/>
        <c:varyColors val="0"/>
        <c:ser>
          <c:idx val="0"/>
          <c:order val="0"/>
          <c:tx>
            <c:strRef>
              <c:f>exercice_6!$D$40</c:f>
              <c:strCache>
                <c:ptCount val="1"/>
                <c:pt idx="0">
                  <c:v>TIR</c:v>
                </c:pt>
              </c:strCache>
            </c:strRef>
          </c:tx>
          <c:xVal>
            <c:numRef>
              <c:f>exercice_6!$C$41:$C$52</c:f>
              <c:numCache>
                <c:formatCode>General</c:formatCode>
                <c:ptCount val="12"/>
                <c:pt idx="0">
                  <c:v>1</c:v>
                </c:pt>
                <c:pt idx="1">
                  <c:v>3</c:v>
                </c:pt>
                <c:pt idx="2">
                  <c:v>5</c:v>
                </c:pt>
                <c:pt idx="3">
                  <c:v>10</c:v>
                </c:pt>
                <c:pt idx="4">
                  <c:v>15</c:v>
                </c:pt>
                <c:pt idx="5">
                  <c:v>20</c:v>
                </c:pt>
              </c:numCache>
            </c:numRef>
          </c:xVal>
          <c:yVal>
            <c:numRef>
              <c:f>exercice_6!$D$41:$D$52</c:f>
              <c:numCache>
                <c:formatCode>0.0000</c:formatCode>
                <c:ptCount val="12"/>
                <c:pt idx="0">
                  <c:v>3.0295231588201244E-2</c:v>
                </c:pt>
                <c:pt idx="1">
                  <c:v>3.1975033785096363E-2</c:v>
                </c:pt>
                <c:pt idx="2">
                  <c:v>3.2312456625146257E-2</c:v>
                </c:pt>
                <c:pt idx="3">
                  <c:v>3.1701260488461891E-2</c:v>
                </c:pt>
                <c:pt idx="4">
                  <c:v>3.0210397731235128E-2</c:v>
                </c:pt>
                <c:pt idx="5">
                  <c:v>2.8167689361807691E-2</c:v>
                </c:pt>
              </c:numCache>
            </c:numRef>
          </c:yVal>
          <c:smooth val="1"/>
          <c:extLst>
            <c:ext xmlns:c16="http://schemas.microsoft.com/office/drawing/2014/chart" uri="{C3380CC4-5D6E-409C-BE32-E72D297353CC}">
              <c16:uniqueId val="{00000000-5B97-489D-AD83-CE6D1D4BCFB8}"/>
            </c:ext>
          </c:extLst>
        </c:ser>
        <c:dLbls>
          <c:showLegendKey val="0"/>
          <c:showVal val="0"/>
          <c:showCatName val="0"/>
          <c:showSerName val="0"/>
          <c:showPercent val="0"/>
          <c:showBubbleSize val="0"/>
        </c:dLbls>
        <c:axId val="2069739776"/>
        <c:axId val="2069738688"/>
      </c:scatterChart>
      <c:valAx>
        <c:axId val="2069739776"/>
        <c:scaling>
          <c:orientation val="minMax"/>
        </c:scaling>
        <c:delete val="0"/>
        <c:axPos val="b"/>
        <c:title>
          <c:tx>
            <c:rich>
              <a:bodyPr/>
              <a:lstStyle/>
              <a:p>
                <a:pPr>
                  <a:defRPr/>
                </a:pPr>
                <a:r>
                  <a:rPr lang="fr-BE"/>
                  <a:t>Densité de cerf / 1000ha</a:t>
                </a:r>
              </a:p>
            </c:rich>
          </c:tx>
          <c:overlay val="0"/>
        </c:title>
        <c:numFmt formatCode="General" sourceLinked="1"/>
        <c:majorTickMark val="none"/>
        <c:minorTickMark val="none"/>
        <c:tickLblPos val="nextTo"/>
        <c:crossAx val="2069738688"/>
        <c:crosses val="autoZero"/>
        <c:crossBetween val="midCat"/>
      </c:valAx>
      <c:valAx>
        <c:axId val="2069738688"/>
        <c:scaling>
          <c:orientation val="minMax"/>
        </c:scaling>
        <c:delete val="0"/>
        <c:axPos val="l"/>
        <c:majorGridlines/>
        <c:title>
          <c:tx>
            <c:rich>
              <a:bodyPr/>
              <a:lstStyle/>
              <a:p>
                <a:pPr>
                  <a:defRPr/>
                </a:pPr>
                <a:r>
                  <a:rPr lang="fr-BE"/>
                  <a:t>Taux interne de rentabilité</a:t>
                </a:r>
              </a:p>
            </c:rich>
          </c:tx>
          <c:overlay val="0"/>
        </c:title>
        <c:numFmt formatCode="0.0000" sourceLinked="1"/>
        <c:majorTickMark val="none"/>
        <c:minorTickMark val="none"/>
        <c:tickLblPos val="nextTo"/>
        <c:crossAx val="2069739776"/>
        <c:crosses val="autoZero"/>
        <c:crossBetween val="midCat"/>
      </c:valAx>
    </c:plotArea>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smoothMarker"/>
        <c:varyColors val="0"/>
        <c:ser>
          <c:idx val="0"/>
          <c:order val="0"/>
          <c:tx>
            <c:strRef>
              <c:f>exercice_6!$E$40</c:f>
              <c:strCache>
                <c:ptCount val="1"/>
                <c:pt idx="0">
                  <c:v>BASI(r= 1%)</c:v>
                </c:pt>
              </c:strCache>
            </c:strRef>
          </c:tx>
          <c:xVal>
            <c:numRef>
              <c:f>exercice_6!$C$41:$C$52</c:f>
              <c:numCache>
                <c:formatCode>General</c:formatCode>
                <c:ptCount val="12"/>
                <c:pt idx="0">
                  <c:v>1</c:v>
                </c:pt>
                <c:pt idx="1">
                  <c:v>3</c:v>
                </c:pt>
                <c:pt idx="2">
                  <c:v>5</c:v>
                </c:pt>
                <c:pt idx="3">
                  <c:v>10</c:v>
                </c:pt>
                <c:pt idx="4">
                  <c:v>15</c:v>
                </c:pt>
                <c:pt idx="5">
                  <c:v>20</c:v>
                </c:pt>
              </c:numCache>
            </c:numRef>
          </c:xVal>
          <c:yVal>
            <c:numRef>
              <c:f>exercice_6!$E$41:$E$52</c:f>
              <c:numCache>
                <c:formatCode>0.0</c:formatCode>
                <c:ptCount val="12"/>
                <c:pt idx="0">
                  <c:v>34605.559037475425</c:v>
                </c:pt>
                <c:pt idx="1">
                  <c:v>36012.937741111804</c:v>
                </c:pt>
                <c:pt idx="2">
                  <c:v>35539.399117061403</c:v>
                </c:pt>
                <c:pt idx="3">
                  <c:v>32487.01854459929</c:v>
                </c:pt>
                <c:pt idx="4">
                  <c:v>28514.055340291485</c:v>
                </c:pt>
                <c:pt idx="5">
                  <c:v>24164.186421883263</c:v>
                </c:pt>
              </c:numCache>
            </c:numRef>
          </c:yVal>
          <c:smooth val="1"/>
          <c:extLst>
            <c:ext xmlns:c16="http://schemas.microsoft.com/office/drawing/2014/chart" uri="{C3380CC4-5D6E-409C-BE32-E72D297353CC}">
              <c16:uniqueId val="{00000000-413D-48C4-8ACB-2A10B88F45CD}"/>
            </c:ext>
          </c:extLst>
        </c:ser>
        <c:dLbls>
          <c:showLegendKey val="0"/>
          <c:showVal val="0"/>
          <c:showCatName val="0"/>
          <c:showSerName val="0"/>
          <c:showPercent val="0"/>
          <c:showBubbleSize val="0"/>
        </c:dLbls>
        <c:axId val="2069751200"/>
        <c:axId val="2069751744"/>
      </c:scatterChart>
      <c:valAx>
        <c:axId val="2069751200"/>
        <c:scaling>
          <c:orientation val="minMax"/>
        </c:scaling>
        <c:delete val="0"/>
        <c:axPos val="b"/>
        <c:title>
          <c:tx>
            <c:rich>
              <a:bodyPr/>
              <a:lstStyle/>
              <a:p>
                <a:pPr>
                  <a:defRPr/>
                </a:pPr>
                <a:r>
                  <a:rPr lang="fr-BE"/>
                  <a:t>Densité de cerf / 1000ha</a:t>
                </a:r>
              </a:p>
            </c:rich>
          </c:tx>
          <c:overlay val="0"/>
        </c:title>
        <c:numFmt formatCode="General" sourceLinked="1"/>
        <c:majorTickMark val="none"/>
        <c:minorTickMark val="none"/>
        <c:tickLblPos val="nextTo"/>
        <c:crossAx val="2069751744"/>
        <c:crosses val="autoZero"/>
        <c:crossBetween val="midCat"/>
      </c:valAx>
      <c:valAx>
        <c:axId val="2069751744"/>
        <c:scaling>
          <c:orientation val="minMax"/>
          <c:min val="14000"/>
        </c:scaling>
        <c:delete val="0"/>
        <c:axPos val="l"/>
        <c:majorGridlines/>
        <c:title>
          <c:tx>
            <c:rich>
              <a:bodyPr/>
              <a:lstStyle/>
              <a:p>
                <a:pPr>
                  <a:defRPr/>
                </a:pPr>
                <a:r>
                  <a:rPr lang="fr-BE"/>
                  <a:t>BASI 1%</a:t>
                </a:r>
              </a:p>
            </c:rich>
          </c:tx>
          <c:overlay val="0"/>
        </c:title>
        <c:numFmt formatCode="0.0" sourceLinked="1"/>
        <c:majorTickMark val="none"/>
        <c:minorTickMark val="none"/>
        <c:tickLblPos val="nextTo"/>
        <c:crossAx val="2069751200"/>
        <c:crosses val="autoZero"/>
        <c:crossBetween val="midCat"/>
      </c:valAx>
    </c:plotArea>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smoothMarker"/>
        <c:varyColors val="0"/>
        <c:ser>
          <c:idx val="0"/>
          <c:order val="0"/>
          <c:tx>
            <c:strRef>
              <c:f>exercice_6!$F$40</c:f>
              <c:strCache>
                <c:ptCount val="1"/>
                <c:pt idx="0">
                  <c:v>BASI (r = 2%)</c:v>
                </c:pt>
              </c:strCache>
            </c:strRef>
          </c:tx>
          <c:xVal>
            <c:numRef>
              <c:f>exercice_6!$C$41:$C$52</c:f>
              <c:numCache>
                <c:formatCode>General</c:formatCode>
                <c:ptCount val="12"/>
                <c:pt idx="0">
                  <c:v>1</c:v>
                </c:pt>
                <c:pt idx="1">
                  <c:v>3</c:v>
                </c:pt>
                <c:pt idx="2">
                  <c:v>5</c:v>
                </c:pt>
                <c:pt idx="3">
                  <c:v>10</c:v>
                </c:pt>
                <c:pt idx="4">
                  <c:v>15</c:v>
                </c:pt>
                <c:pt idx="5">
                  <c:v>20</c:v>
                </c:pt>
              </c:numCache>
            </c:numRef>
          </c:xVal>
          <c:yVal>
            <c:numRef>
              <c:f>exercice_6!$F$41:$F$52</c:f>
              <c:numCache>
                <c:formatCode>0.0</c:formatCode>
                <c:ptCount val="12"/>
                <c:pt idx="0">
                  <c:v>10153.428402699599</c:v>
                </c:pt>
                <c:pt idx="1">
                  <c:v>11090.156895659373</c:v>
                </c:pt>
                <c:pt idx="2">
                  <c:v>11086.426724775753</c:v>
                </c:pt>
                <c:pt idx="3">
                  <c:v>10142.83429139866</c:v>
                </c:pt>
                <c:pt idx="4">
                  <c:v>8738.9505420987225</c:v>
                </c:pt>
                <c:pt idx="5">
                  <c:v>7146.6139357485672</c:v>
                </c:pt>
              </c:numCache>
            </c:numRef>
          </c:yVal>
          <c:smooth val="1"/>
          <c:extLst>
            <c:ext xmlns:c16="http://schemas.microsoft.com/office/drawing/2014/chart" uri="{C3380CC4-5D6E-409C-BE32-E72D297353CC}">
              <c16:uniqueId val="{00000000-F89B-4FC1-9FF5-BECCA332A0A2}"/>
            </c:ext>
          </c:extLst>
        </c:ser>
        <c:dLbls>
          <c:showLegendKey val="0"/>
          <c:showVal val="0"/>
          <c:showCatName val="0"/>
          <c:showSerName val="0"/>
          <c:showPercent val="0"/>
          <c:showBubbleSize val="0"/>
        </c:dLbls>
        <c:axId val="2069752288"/>
        <c:axId val="2069740320"/>
      </c:scatterChart>
      <c:valAx>
        <c:axId val="2069752288"/>
        <c:scaling>
          <c:orientation val="minMax"/>
        </c:scaling>
        <c:delete val="0"/>
        <c:axPos val="b"/>
        <c:title>
          <c:tx>
            <c:rich>
              <a:bodyPr/>
              <a:lstStyle/>
              <a:p>
                <a:pPr>
                  <a:defRPr/>
                </a:pPr>
                <a:r>
                  <a:rPr lang="fr-BE"/>
                  <a:t>Densité de cerf / 1000ha</a:t>
                </a:r>
              </a:p>
            </c:rich>
          </c:tx>
          <c:overlay val="0"/>
        </c:title>
        <c:numFmt formatCode="General" sourceLinked="1"/>
        <c:majorTickMark val="none"/>
        <c:minorTickMark val="none"/>
        <c:tickLblPos val="nextTo"/>
        <c:crossAx val="2069740320"/>
        <c:crosses val="autoZero"/>
        <c:crossBetween val="midCat"/>
      </c:valAx>
      <c:valAx>
        <c:axId val="2069740320"/>
        <c:scaling>
          <c:orientation val="minMax"/>
          <c:min val="2000"/>
        </c:scaling>
        <c:delete val="0"/>
        <c:axPos val="l"/>
        <c:majorGridlines/>
        <c:title>
          <c:tx>
            <c:rich>
              <a:bodyPr/>
              <a:lstStyle/>
              <a:p>
                <a:pPr>
                  <a:defRPr/>
                </a:pPr>
                <a:r>
                  <a:rPr lang="fr-BE"/>
                  <a:t>BASI 2%</a:t>
                </a:r>
              </a:p>
            </c:rich>
          </c:tx>
          <c:overlay val="0"/>
        </c:title>
        <c:numFmt formatCode="0.0" sourceLinked="1"/>
        <c:majorTickMark val="none"/>
        <c:minorTickMark val="none"/>
        <c:tickLblPos val="nextTo"/>
        <c:crossAx val="2069752288"/>
        <c:crosses val="autoZero"/>
        <c:crossBetween val="midCat"/>
      </c:valAx>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221084864391952"/>
          <c:y val="3.2882035578885971E-2"/>
          <c:w val="0.73999759405074361"/>
          <c:h val="0.73444808982210552"/>
        </c:manualLayout>
      </c:layout>
      <c:scatterChart>
        <c:scatterStyle val="smoothMarker"/>
        <c:varyColors val="0"/>
        <c:ser>
          <c:idx val="0"/>
          <c:order val="0"/>
          <c:tx>
            <c:strRef>
              <c:f>exercice_6!$G$40</c:f>
              <c:strCache>
                <c:ptCount val="1"/>
                <c:pt idx="0">
                  <c:v>BASI (r=3%)</c:v>
                </c:pt>
              </c:strCache>
            </c:strRef>
          </c:tx>
          <c:xVal>
            <c:numRef>
              <c:f>exercice_6!$C$41:$C$52</c:f>
              <c:numCache>
                <c:formatCode>General</c:formatCode>
                <c:ptCount val="12"/>
                <c:pt idx="0">
                  <c:v>1</c:v>
                </c:pt>
                <c:pt idx="1">
                  <c:v>3</c:v>
                </c:pt>
                <c:pt idx="2">
                  <c:v>5</c:v>
                </c:pt>
                <c:pt idx="3">
                  <c:v>10</c:v>
                </c:pt>
                <c:pt idx="4">
                  <c:v>15</c:v>
                </c:pt>
                <c:pt idx="5">
                  <c:v>20</c:v>
                </c:pt>
              </c:numCache>
            </c:numRef>
          </c:xVal>
          <c:yVal>
            <c:numRef>
              <c:f>exercice_6!$G$41:$G$52</c:f>
              <c:numCache>
                <c:formatCode>0.0</c:formatCode>
                <c:ptCount val="12"/>
                <c:pt idx="0">
                  <c:v>2637.5247510351242</c:v>
                </c:pt>
                <c:pt idx="1">
                  <c:v>3388.706205596196</c:v>
                </c:pt>
                <c:pt idx="2">
                  <c:v>3512.9152175950085</c:v>
                </c:pt>
                <c:pt idx="3">
                  <c:v>3200.5930768133339</c:v>
                </c:pt>
                <c:pt idx="4">
                  <c:v>2581.4100587497678</c:v>
                </c:pt>
                <c:pt idx="5">
                  <c:v>1836.5918026527218</c:v>
                </c:pt>
              </c:numCache>
            </c:numRef>
          </c:yVal>
          <c:smooth val="1"/>
          <c:extLst>
            <c:ext xmlns:c16="http://schemas.microsoft.com/office/drawing/2014/chart" uri="{C3380CC4-5D6E-409C-BE32-E72D297353CC}">
              <c16:uniqueId val="{00000000-0D94-493E-BB9A-D397B05A917B}"/>
            </c:ext>
          </c:extLst>
        </c:ser>
        <c:dLbls>
          <c:showLegendKey val="0"/>
          <c:showVal val="0"/>
          <c:showCatName val="0"/>
          <c:showSerName val="0"/>
          <c:showPercent val="0"/>
          <c:showBubbleSize val="0"/>
        </c:dLbls>
        <c:axId val="2069743040"/>
        <c:axId val="2069743584"/>
      </c:scatterChart>
      <c:valAx>
        <c:axId val="2069743040"/>
        <c:scaling>
          <c:orientation val="minMax"/>
        </c:scaling>
        <c:delete val="0"/>
        <c:axPos val="b"/>
        <c:title>
          <c:tx>
            <c:rich>
              <a:bodyPr/>
              <a:lstStyle/>
              <a:p>
                <a:pPr>
                  <a:defRPr/>
                </a:pPr>
                <a:r>
                  <a:rPr lang="fr-BE"/>
                  <a:t>Densité de cerf / 1000ha</a:t>
                </a:r>
              </a:p>
            </c:rich>
          </c:tx>
          <c:overlay val="0"/>
        </c:title>
        <c:numFmt formatCode="General" sourceLinked="1"/>
        <c:majorTickMark val="none"/>
        <c:minorTickMark val="none"/>
        <c:tickLblPos val="nextTo"/>
        <c:crossAx val="2069743584"/>
        <c:crosses val="autoZero"/>
        <c:crossBetween val="midCat"/>
      </c:valAx>
      <c:valAx>
        <c:axId val="2069743584"/>
        <c:scaling>
          <c:orientation val="minMax"/>
          <c:min val="300"/>
        </c:scaling>
        <c:delete val="0"/>
        <c:axPos val="l"/>
        <c:majorGridlines/>
        <c:title>
          <c:tx>
            <c:rich>
              <a:bodyPr/>
              <a:lstStyle/>
              <a:p>
                <a:pPr>
                  <a:defRPr/>
                </a:pPr>
                <a:r>
                  <a:rPr lang="fr-BE"/>
                  <a:t>BASI 3%</a:t>
                </a:r>
              </a:p>
            </c:rich>
          </c:tx>
          <c:overlay val="0"/>
        </c:title>
        <c:numFmt formatCode="0.0" sourceLinked="1"/>
        <c:majorTickMark val="none"/>
        <c:minorTickMark val="none"/>
        <c:tickLblPos val="nextTo"/>
        <c:crossAx val="2069743040"/>
        <c:crosses val="autoZero"/>
        <c:crossBetween val="midCat"/>
      </c:valAx>
    </c:plotArea>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exercice_9!$U$47</c:f>
              <c:strCache>
                <c:ptCount val="1"/>
                <c:pt idx="0">
                  <c:v>projet 1</c:v>
                </c:pt>
              </c:strCache>
            </c:strRef>
          </c:tx>
          <c:cat>
            <c:numRef>
              <c:f>exercice_9!$Y$48:$Y$54</c:f>
              <c:numCache>
                <c:formatCode>General</c:formatCode>
                <c:ptCount val="7"/>
                <c:pt idx="0">
                  <c:v>0.01</c:v>
                </c:pt>
                <c:pt idx="1">
                  <c:v>0.02</c:v>
                </c:pt>
                <c:pt idx="2">
                  <c:v>0.03</c:v>
                </c:pt>
                <c:pt idx="3">
                  <c:v>0.04</c:v>
                </c:pt>
                <c:pt idx="4">
                  <c:v>0.05</c:v>
                </c:pt>
                <c:pt idx="5">
                  <c:v>0.06</c:v>
                </c:pt>
                <c:pt idx="6">
                  <c:v>7.0000000000000007E-2</c:v>
                </c:pt>
              </c:numCache>
            </c:numRef>
          </c:cat>
          <c:val>
            <c:numRef>
              <c:f>exercice_9!$U$48:$U$54</c:f>
              <c:numCache>
                <c:formatCode>0.0</c:formatCode>
                <c:ptCount val="7"/>
                <c:pt idx="0">
                  <c:v>10287.281885001297</c:v>
                </c:pt>
                <c:pt idx="1">
                  <c:v>1848.4044998555105</c:v>
                </c:pt>
                <c:pt idx="2">
                  <c:v>-828.11900527105831</c:v>
                </c:pt>
                <c:pt idx="3">
                  <c:v>-2068.7031059195492</c:v>
                </c:pt>
                <c:pt idx="4">
                  <c:v>-2739.6699697590075</c:v>
                </c:pt>
                <c:pt idx="5">
                  <c:v>-3130.4257153367639</c:v>
                </c:pt>
                <c:pt idx="6">
                  <c:v>-3365.3413954480111</c:v>
                </c:pt>
              </c:numCache>
            </c:numRef>
          </c:val>
          <c:smooth val="0"/>
          <c:extLst>
            <c:ext xmlns:c16="http://schemas.microsoft.com/office/drawing/2014/chart" uri="{C3380CC4-5D6E-409C-BE32-E72D297353CC}">
              <c16:uniqueId val="{00000000-3B28-4635-BBD1-4EBF38D4B45A}"/>
            </c:ext>
          </c:extLst>
        </c:ser>
        <c:ser>
          <c:idx val="1"/>
          <c:order val="1"/>
          <c:tx>
            <c:strRef>
              <c:f>exercice_9!$V$47</c:f>
              <c:strCache>
                <c:ptCount val="1"/>
                <c:pt idx="0">
                  <c:v>projet 2</c:v>
                </c:pt>
              </c:strCache>
            </c:strRef>
          </c:tx>
          <c:cat>
            <c:numRef>
              <c:f>exercice_9!$Y$48:$Y$54</c:f>
              <c:numCache>
                <c:formatCode>General</c:formatCode>
                <c:ptCount val="7"/>
                <c:pt idx="0">
                  <c:v>0.01</c:v>
                </c:pt>
                <c:pt idx="1">
                  <c:v>0.02</c:v>
                </c:pt>
                <c:pt idx="2">
                  <c:v>0.03</c:v>
                </c:pt>
                <c:pt idx="3">
                  <c:v>0.04</c:v>
                </c:pt>
                <c:pt idx="4">
                  <c:v>0.05</c:v>
                </c:pt>
                <c:pt idx="5">
                  <c:v>0.06</c:v>
                </c:pt>
                <c:pt idx="6">
                  <c:v>7.0000000000000007E-2</c:v>
                </c:pt>
              </c:numCache>
            </c:numRef>
          </c:cat>
          <c:val>
            <c:numRef>
              <c:f>exercice_9!$V$48:$V$54</c:f>
              <c:numCache>
                <c:formatCode>0.0</c:formatCode>
                <c:ptCount val="7"/>
                <c:pt idx="0">
                  <c:v>16028.909275126654</c:v>
                </c:pt>
                <c:pt idx="1">
                  <c:v>4912.7887627786395</c:v>
                </c:pt>
                <c:pt idx="2">
                  <c:v>1355.9952274496625</c:v>
                </c:pt>
                <c:pt idx="3">
                  <c:v>-316.36899743119994</c:v>
                </c:pt>
                <c:pt idx="4">
                  <c:v>-1240.3610519819927</c:v>
                </c:pt>
                <c:pt idx="5">
                  <c:v>-1795.3084670779033</c:v>
                </c:pt>
                <c:pt idx="6">
                  <c:v>-2144.1118348142786</c:v>
                </c:pt>
              </c:numCache>
            </c:numRef>
          </c:val>
          <c:smooth val="0"/>
          <c:extLst>
            <c:ext xmlns:c16="http://schemas.microsoft.com/office/drawing/2014/chart" uri="{C3380CC4-5D6E-409C-BE32-E72D297353CC}">
              <c16:uniqueId val="{00000001-3B28-4635-BBD1-4EBF38D4B45A}"/>
            </c:ext>
          </c:extLst>
        </c:ser>
        <c:ser>
          <c:idx val="2"/>
          <c:order val="2"/>
          <c:tx>
            <c:strRef>
              <c:f>exercice_9!$W$47</c:f>
              <c:strCache>
                <c:ptCount val="1"/>
                <c:pt idx="0">
                  <c:v>projet 3</c:v>
                </c:pt>
              </c:strCache>
            </c:strRef>
          </c:tx>
          <c:cat>
            <c:numRef>
              <c:f>exercice_9!$Y$48:$Y$54</c:f>
              <c:numCache>
                <c:formatCode>General</c:formatCode>
                <c:ptCount val="7"/>
                <c:pt idx="0">
                  <c:v>0.01</c:v>
                </c:pt>
                <c:pt idx="1">
                  <c:v>0.02</c:v>
                </c:pt>
                <c:pt idx="2">
                  <c:v>0.03</c:v>
                </c:pt>
                <c:pt idx="3">
                  <c:v>0.04</c:v>
                </c:pt>
                <c:pt idx="4">
                  <c:v>0.05</c:v>
                </c:pt>
                <c:pt idx="5">
                  <c:v>0.06</c:v>
                </c:pt>
                <c:pt idx="6">
                  <c:v>7.0000000000000007E-2</c:v>
                </c:pt>
              </c:numCache>
            </c:numRef>
          </c:cat>
          <c:val>
            <c:numRef>
              <c:f>exercice_9!$W$48:$W$54</c:f>
              <c:numCache>
                <c:formatCode>0.0</c:formatCode>
                <c:ptCount val="7"/>
                <c:pt idx="0">
                  <c:v>20806.379874945418</c:v>
                </c:pt>
                <c:pt idx="1">
                  <c:v>7375.4361966492988</c:v>
                </c:pt>
                <c:pt idx="2">
                  <c:v>3059.8841334025901</c:v>
                </c:pt>
                <c:pt idx="3">
                  <c:v>1017.0717302756581</c:v>
                </c:pt>
                <c:pt idx="4">
                  <c:v>-122.66413342169602</c:v>
                </c:pt>
                <c:pt idx="5">
                  <c:v>-816.54247235408525</c:v>
                </c:pt>
                <c:pt idx="6">
                  <c:v>-1260.8475973952548</c:v>
                </c:pt>
              </c:numCache>
            </c:numRef>
          </c:val>
          <c:smooth val="0"/>
          <c:extLst>
            <c:ext xmlns:c16="http://schemas.microsoft.com/office/drawing/2014/chart" uri="{C3380CC4-5D6E-409C-BE32-E72D297353CC}">
              <c16:uniqueId val="{00000002-3B28-4635-BBD1-4EBF38D4B45A}"/>
            </c:ext>
          </c:extLst>
        </c:ser>
        <c:ser>
          <c:idx val="3"/>
          <c:order val="3"/>
          <c:tx>
            <c:strRef>
              <c:f>exercice_9!$X$47</c:f>
              <c:strCache>
                <c:ptCount val="1"/>
                <c:pt idx="0">
                  <c:v>projet 4</c:v>
                </c:pt>
              </c:strCache>
            </c:strRef>
          </c:tx>
          <c:cat>
            <c:numRef>
              <c:f>exercice_9!$Y$48:$Y$54</c:f>
              <c:numCache>
                <c:formatCode>General</c:formatCode>
                <c:ptCount val="7"/>
                <c:pt idx="0">
                  <c:v>0.01</c:v>
                </c:pt>
                <c:pt idx="1">
                  <c:v>0.02</c:v>
                </c:pt>
                <c:pt idx="2">
                  <c:v>0.03</c:v>
                </c:pt>
                <c:pt idx="3">
                  <c:v>0.04</c:v>
                </c:pt>
                <c:pt idx="4">
                  <c:v>0.05</c:v>
                </c:pt>
                <c:pt idx="5">
                  <c:v>0.06</c:v>
                </c:pt>
                <c:pt idx="6">
                  <c:v>7.0000000000000007E-2</c:v>
                </c:pt>
              </c:numCache>
            </c:numRef>
          </c:cat>
          <c:val>
            <c:numRef>
              <c:f>exercice_9!$X$48:$X$54</c:f>
              <c:numCache>
                <c:formatCode>0.0</c:formatCode>
                <c:ptCount val="7"/>
                <c:pt idx="0">
                  <c:v>21443.583827386508</c:v>
                </c:pt>
                <c:pt idx="1">
                  <c:v>7937.4709713772727</c:v>
                </c:pt>
                <c:pt idx="2">
                  <c:v>3591.2217918763431</c:v>
                </c:pt>
                <c:pt idx="3">
                  <c:v>1528.9477389778801</c:v>
                </c:pt>
                <c:pt idx="4">
                  <c:v>374.39326728749643</c:v>
                </c:pt>
                <c:pt idx="5">
                  <c:v>-331.8217419668174</c:v>
                </c:pt>
                <c:pt idx="6">
                  <c:v>-786.88526847581511</c:v>
                </c:pt>
              </c:numCache>
            </c:numRef>
          </c:val>
          <c:smooth val="0"/>
          <c:extLst>
            <c:ext xmlns:c16="http://schemas.microsoft.com/office/drawing/2014/chart" uri="{C3380CC4-5D6E-409C-BE32-E72D297353CC}">
              <c16:uniqueId val="{00000003-3B28-4635-BBD1-4EBF38D4B45A}"/>
            </c:ext>
          </c:extLst>
        </c:ser>
        <c:dLbls>
          <c:showLegendKey val="0"/>
          <c:showVal val="0"/>
          <c:showCatName val="0"/>
          <c:showSerName val="0"/>
          <c:showPercent val="0"/>
          <c:showBubbleSize val="0"/>
        </c:dLbls>
        <c:marker val="1"/>
        <c:smooth val="0"/>
        <c:axId val="1739880112"/>
        <c:axId val="1947851968"/>
      </c:lineChart>
      <c:catAx>
        <c:axId val="1739880112"/>
        <c:scaling>
          <c:orientation val="minMax"/>
        </c:scaling>
        <c:delete val="0"/>
        <c:axPos val="b"/>
        <c:title>
          <c:tx>
            <c:rich>
              <a:bodyPr/>
              <a:lstStyle/>
              <a:p>
                <a:pPr>
                  <a:defRPr/>
                </a:pPr>
                <a:r>
                  <a:rPr lang="fr-BE"/>
                  <a:t>Taux d'actualisation</a:t>
                </a:r>
              </a:p>
            </c:rich>
          </c:tx>
          <c:overlay val="0"/>
        </c:title>
        <c:numFmt formatCode="General" sourceLinked="1"/>
        <c:majorTickMark val="none"/>
        <c:minorTickMark val="none"/>
        <c:tickLblPos val="nextTo"/>
        <c:crossAx val="1947851968"/>
        <c:crosses val="autoZero"/>
        <c:auto val="1"/>
        <c:lblAlgn val="ctr"/>
        <c:lblOffset val="100"/>
        <c:noMultiLvlLbl val="0"/>
      </c:catAx>
      <c:valAx>
        <c:axId val="1947851968"/>
        <c:scaling>
          <c:orientation val="minMax"/>
        </c:scaling>
        <c:delete val="0"/>
        <c:axPos val="l"/>
        <c:majorGridlines/>
        <c:title>
          <c:tx>
            <c:rich>
              <a:bodyPr rot="0" vert="horz"/>
              <a:lstStyle/>
              <a:p>
                <a:pPr>
                  <a:defRPr/>
                </a:pPr>
                <a:r>
                  <a:rPr lang="fr-BE"/>
                  <a:t>BASI (€/ha)</a:t>
                </a:r>
              </a:p>
            </c:rich>
          </c:tx>
          <c:overlay val="0"/>
        </c:title>
        <c:numFmt formatCode="0.0" sourceLinked="1"/>
        <c:majorTickMark val="out"/>
        <c:minorTickMark val="none"/>
        <c:tickLblPos val="nextTo"/>
        <c:crossAx val="173988011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chart" Target="../charts/chart1.xml"/><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3" Type="http://schemas.openxmlformats.org/officeDocument/2006/relationships/chart" Target="../charts/chart5.xml"/><Relationship Id="rId7" Type="http://schemas.openxmlformats.org/officeDocument/2006/relationships/image" Target="../media/image8.png"/><Relationship Id="rId2" Type="http://schemas.openxmlformats.org/officeDocument/2006/relationships/chart" Target="../charts/chart4.xml"/><Relationship Id="rId1" Type="http://schemas.openxmlformats.org/officeDocument/2006/relationships/chart" Target="../charts/chart3.xml"/><Relationship Id="rId6" Type="http://schemas.openxmlformats.org/officeDocument/2006/relationships/image" Target="../media/image5.png"/><Relationship Id="rId5" Type="http://schemas.openxmlformats.org/officeDocument/2006/relationships/image" Target="../media/image7.png"/><Relationship Id="rId4" Type="http://schemas.openxmlformats.org/officeDocument/2006/relationships/chart" Target="../charts/chart6.xml"/></Relationships>
</file>

<file path=xl/drawings/_rels/drawing6.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1.wmf"/><Relationship Id="rId1" Type="http://schemas.openxmlformats.org/officeDocument/2006/relationships/image" Target="../media/image10.wmf"/></Relationships>
</file>

<file path=xl/drawings/drawing1.xml><?xml version="1.0" encoding="utf-8"?>
<xdr:wsDr xmlns:xdr="http://schemas.openxmlformats.org/drawingml/2006/spreadsheetDrawing" xmlns:a="http://schemas.openxmlformats.org/drawingml/2006/main">
  <xdr:twoCellAnchor editAs="oneCell">
    <xdr:from>
      <xdr:col>15</xdr:col>
      <xdr:colOff>146720</xdr:colOff>
      <xdr:row>11</xdr:row>
      <xdr:rowOff>123057</xdr:rowOff>
    </xdr:from>
    <xdr:to>
      <xdr:col>18</xdr:col>
      <xdr:colOff>335316</xdr:colOff>
      <xdr:row>31</xdr:row>
      <xdr:rowOff>108857</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2379541" y="1919200"/>
          <a:ext cx="2474596" cy="33059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444729</xdr:colOff>
      <xdr:row>36</xdr:row>
      <xdr:rowOff>123265</xdr:rowOff>
    </xdr:from>
    <xdr:to>
      <xdr:col>5</xdr:col>
      <xdr:colOff>201706</xdr:colOff>
      <xdr:row>50</xdr:row>
      <xdr:rowOff>19148</xdr:rowOff>
    </xdr:to>
    <xdr:graphicFrame macro="">
      <xdr:nvGraphicFramePr>
        <xdr:cNvPr id="3" name="Graphique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3</xdr:col>
      <xdr:colOff>1609724</xdr:colOff>
      <xdr:row>11</xdr:row>
      <xdr:rowOff>48784</xdr:rowOff>
    </xdr:from>
    <xdr:to>
      <xdr:col>10</xdr:col>
      <xdr:colOff>198938</xdr:colOff>
      <xdr:row>16</xdr:row>
      <xdr:rowOff>37946</xdr:rowOff>
    </xdr:to>
    <xdr:pic>
      <xdr:nvPicPr>
        <xdr:cNvPr id="4" name="Imag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stretch>
          <a:fillRect/>
        </a:stretch>
      </xdr:blipFill>
      <xdr:spPr>
        <a:xfrm>
          <a:off x="3390899" y="1829959"/>
          <a:ext cx="5647239" cy="798787"/>
        </a:xfrm>
        <a:prstGeom prst="rect">
          <a:avLst/>
        </a:prstGeom>
      </xdr:spPr>
    </xdr:pic>
    <xdr:clientData/>
  </xdr:twoCellAnchor>
  <xdr:twoCellAnchor editAs="oneCell">
    <xdr:from>
      <xdr:col>10</xdr:col>
      <xdr:colOff>326065</xdr:colOff>
      <xdr:row>11</xdr:row>
      <xdr:rowOff>28575</xdr:rowOff>
    </xdr:from>
    <xdr:to>
      <xdr:col>14</xdr:col>
      <xdr:colOff>627971</xdr:colOff>
      <xdr:row>19</xdr:row>
      <xdr:rowOff>104519</xdr:rowOff>
    </xdr:to>
    <xdr:pic>
      <xdr:nvPicPr>
        <xdr:cNvPr id="6" name="Imag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stretch>
          <a:fillRect/>
        </a:stretch>
      </xdr:blipFill>
      <xdr:spPr>
        <a:xfrm>
          <a:off x="9165265" y="1809750"/>
          <a:ext cx="3635656" cy="1371344"/>
        </a:xfrm>
        <a:prstGeom prst="rect">
          <a:avLst/>
        </a:prstGeom>
      </xdr:spPr>
    </xdr:pic>
    <xdr:clientData/>
  </xdr:twoCellAnchor>
  <xdr:twoCellAnchor editAs="oneCell">
    <xdr:from>
      <xdr:col>14</xdr:col>
      <xdr:colOff>81643</xdr:colOff>
      <xdr:row>29</xdr:row>
      <xdr:rowOff>27214</xdr:rowOff>
    </xdr:from>
    <xdr:to>
      <xdr:col>20</xdr:col>
      <xdr:colOff>681954</xdr:colOff>
      <xdr:row>45</xdr:row>
      <xdr:rowOff>119166</xdr:rowOff>
    </xdr:to>
    <xdr:pic>
      <xdr:nvPicPr>
        <xdr:cNvPr id="2" name="Imag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4"/>
        <a:stretch>
          <a:fillRect/>
        </a:stretch>
      </xdr:blipFill>
      <xdr:spPr>
        <a:xfrm>
          <a:off x="12273643" y="4789714"/>
          <a:ext cx="5172311" cy="2718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570940</xdr:colOff>
      <xdr:row>39</xdr:row>
      <xdr:rowOff>109818</xdr:rowOff>
    </xdr:from>
    <xdr:to>
      <xdr:col>11</xdr:col>
      <xdr:colOff>570940</xdr:colOff>
      <xdr:row>56</xdr:row>
      <xdr:rowOff>100293</xdr:rowOff>
    </xdr:to>
    <xdr:graphicFrame macro="">
      <xdr:nvGraphicFramePr>
        <xdr:cNvPr id="2" name="Graphique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27</xdr:col>
      <xdr:colOff>13607</xdr:colOff>
      <xdr:row>48</xdr:row>
      <xdr:rowOff>122464</xdr:rowOff>
    </xdr:from>
    <xdr:to>
      <xdr:col>30</xdr:col>
      <xdr:colOff>708560</xdr:colOff>
      <xdr:row>56</xdr:row>
      <xdr:rowOff>61552</xdr:rowOff>
    </xdr:to>
    <xdr:pic>
      <xdr:nvPicPr>
        <xdr:cNvPr id="3" name="Imag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20329071" y="8749393"/>
          <a:ext cx="2980953" cy="1245373"/>
        </a:xfrm>
        <a:prstGeom prst="rect">
          <a:avLst/>
        </a:prstGeom>
      </xdr:spPr>
    </xdr:pic>
    <xdr:clientData/>
  </xdr:twoCellAnchor>
  <xdr:twoCellAnchor editAs="oneCell">
    <xdr:from>
      <xdr:col>27</xdr:col>
      <xdr:colOff>27215</xdr:colOff>
      <xdr:row>57</xdr:row>
      <xdr:rowOff>68034</xdr:rowOff>
    </xdr:from>
    <xdr:to>
      <xdr:col>31</xdr:col>
      <xdr:colOff>369691</xdr:colOff>
      <xdr:row>64</xdr:row>
      <xdr:rowOff>131761</xdr:rowOff>
    </xdr:to>
    <xdr:pic>
      <xdr:nvPicPr>
        <xdr:cNvPr id="4" name="Imag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a:stretch>
          <a:fillRect/>
        </a:stretch>
      </xdr:blipFill>
      <xdr:spPr>
        <a:xfrm>
          <a:off x="20342679" y="10164534"/>
          <a:ext cx="3390476" cy="120672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18</xdr:col>
      <xdr:colOff>425823</xdr:colOff>
      <xdr:row>23</xdr:row>
      <xdr:rowOff>33616</xdr:rowOff>
    </xdr:from>
    <xdr:to>
      <xdr:col>23</xdr:col>
      <xdr:colOff>6299</xdr:colOff>
      <xdr:row>30</xdr:row>
      <xdr:rowOff>106868</xdr:rowOff>
    </xdr:to>
    <xdr:pic>
      <xdr:nvPicPr>
        <xdr:cNvPr id="2" name="Imag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4915029" y="3641910"/>
          <a:ext cx="3390476" cy="1171429"/>
        </a:xfrm>
        <a:prstGeom prst="rect">
          <a:avLst/>
        </a:prstGeom>
      </xdr:spPr>
    </xdr:pic>
    <xdr:clientData/>
  </xdr:twoCellAnchor>
  <xdr:twoCellAnchor editAs="oneCell">
    <xdr:from>
      <xdr:col>18</xdr:col>
      <xdr:colOff>476250</xdr:colOff>
      <xdr:row>14</xdr:row>
      <xdr:rowOff>133350</xdr:rowOff>
    </xdr:from>
    <xdr:to>
      <xdr:col>22</xdr:col>
      <xdr:colOff>409203</xdr:colOff>
      <xdr:row>22</xdr:row>
      <xdr:rowOff>83323</xdr:rowOff>
    </xdr:to>
    <xdr:pic>
      <xdr:nvPicPr>
        <xdr:cNvPr id="3" name="Imag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4963775" y="2400300"/>
          <a:ext cx="2980953" cy="124537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212913</xdr:colOff>
      <xdr:row>53</xdr:row>
      <xdr:rowOff>96372</xdr:rowOff>
    </xdr:from>
    <xdr:to>
      <xdr:col>6</xdr:col>
      <xdr:colOff>123266</xdr:colOff>
      <xdr:row>71</xdr:row>
      <xdr:rowOff>15690</xdr:rowOff>
    </xdr:to>
    <xdr:graphicFrame macro="">
      <xdr:nvGraphicFramePr>
        <xdr:cNvPr id="4" name="Graphique 3">
          <a:extLst>
            <a:ext uri="{FF2B5EF4-FFF2-40B4-BE49-F238E27FC236}">
              <a16:creationId xmlns:a16="http://schemas.microsoft.com/office/drawing/2014/main" id="{00000000-0008-0000-0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235324</xdr:colOff>
      <xdr:row>72</xdr:row>
      <xdr:rowOff>22413</xdr:rowOff>
    </xdr:from>
    <xdr:to>
      <xdr:col>6</xdr:col>
      <xdr:colOff>145677</xdr:colOff>
      <xdr:row>89</xdr:row>
      <xdr:rowOff>98613</xdr:rowOff>
    </xdr:to>
    <xdr:graphicFrame macro="">
      <xdr:nvGraphicFramePr>
        <xdr:cNvPr id="5" name="Graphique 4">
          <a:extLst>
            <a:ext uri="{FF2B5EF4-FFF2-40B4-BE49-F238E27FC236}">
              <a16:creationId xmlns:a16="http://schemas.microsoft.com/office/drawing/2014/main" id="{00000000-0008-0000-0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72</xdr:row>
      <xdr:rowOff>0</xdr:rowOff>
    </xdr:from>
    <xdr:to>
      <xdr:col>13</xdr:col>
      <xdr:colOff>0</xdr:colOff>
      <xdr:row>89</xdr:row>
      <xdr:rowOff>76200</xdr:rowOff>
    </xdr:to>
    <xdr:graphicFrame macro="">
      <xdr:nvGraphicFramePr>
        <xdr:cNvPr id="6" name="Graphique 5">
          <a:extLst>
            <a:ext uri="{FF2B5EF4-FFF2-40B4-BE49-F238E27FC236}">
              <a16:creationId xmlns:a16="http://schemas.microsoft.com/office/drawing/2014/main" id="{00000000-0008-0000-0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0</xdr:colOff>
      <xdr:row>72</xdr:row>
      <xdr:rowOff>0</xdr:rowOff>
    </xdr:from>
    <xdr:to>
      <xdr:col>19</xdr:col>
      <xdr:colOff>347382</xdr:colOff>
      <xdr:row>89</xdr:row>
      <xdr:rowOff>76200</xdr:rowOff>
    </xdr:to>
    <xdr:graphicFrame macro="">
      <xdr:nvGraphicFramePr>
        <xdr:cNvPr id="7" name="Graphique 6">
          <a:extLst>
            <a:ext uri="{FF2B5EF4-FFF2-40B4-BE49-F238E27FC236}">
              <a16:creationId xmlns:a16="http://schemas.microsoft.com/office/drawing/2014/main" id="{00000000-0008-0000-05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21</xdr:col>
      <xdr:colOff>590550</xdr:colOff>
      <xdr:row>68</xdr:row>
      <xdr:rowOff>0</xdr:rowOff>
    </xdr:from>
    <xdr:to>
      <xdr:col>26</xdr:col>
      <xdr:colOff>751979</xdr:colOff>
      <xdr:row>75</xdr:row>
      <xdr:rowOff>142716</xdr:rowOff>
    </xdr:to>
    <xdr:pic>
      <xdr:nvPicPr>
        <xdr:cNvPr id="2" name="Imag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5"/>
        <a:stretch>
          <a:fillRect/>
        </a:stretch>
      </xdr:blipFill>
      <xdr:spPr>
        <a:xfrm>
          <a:off x="17249775" y="11010900"/>
          <a:ext cx="3971429" cy="1276191"/>
        </a:xfrm>
        <a:prstGeom prst="rect">
          <a:avLst/>
        </a:prstGeom>
      </xdr:spPr>
    </xdr:pic>
    <xdr:clientData/>
  </xdr:twoCellAnchor>
  <xdr:twoCellAnchor editAs="oneCell">
    <xdr:from>
      <xdr:col>21</xdr:col>
      <xdr:colOff>733425</xdr:colOff>
      <xdr:row>51</xdr:row>
      <xdr:rowOff>114300</xdr:rowOff>
    </xdr:from>
    <xdr:to>
      <xdr:col>25</xdr:col>
      <xdr:colOff>666378</xdr:colOff>
      <xdr:row>59</xdr:row>
      <xdr:rowOff>104614</xdr:rowOff>
    </xdr:to>
    <xdr:pic>
      <xdr:nvPicPr>
        <xdr:cNvPr id="3" name="Imag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6"/>
        <a:stretch>
          <a:fillRect/>
        </a:stretch>
      </xdr:blipFill>
      <xdr:spPr>
        <a:xfrm>
          <a:off x="17392650" y="8372475"/>
          <a:ext cx="2980953" cy="1285714"/>
        </a:xfrm>
        <a:prstGeom prst="rect">
          <a:avLst/>
        </a:prstGeom>
      </xdr:spPr>
    </xdr:pic>
    <xdr:clientData/>
  </xdr:twoCellAnchor>
  <xdr:twoCellAnchor editAs="oneCell">
    <xdr:from>
      <xdr:col>22</xdr:col>
      <xdr:colOff>0</xdr:colOff>
      <xdr:row>60</xdr:row>
      <xdr:rowOff>29100</xdr:rowOff>
    </xdr:from>
    <xdr:to>
      <xdr:col>25</xdr:col>
      <xdr:colOff>686917</xdr:colOff>
      <xdr:row>68</xdr:row>
      <xdr:rowOff>19050</xdr:rowOff>
    </xdr:to>
    <xdr:pic>
      <xdr:nvPicPr>
        <xdr:cNvPr id="8" name="Image 7">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7"/>
        <a:stretch>
          <a:fillRect/>
        </a:stretch>
      </xdr:blipFill>
      <xdr:spPr>
        <a:xfrm>
          <a:off x="17421225" y="9744600"/>
          <a:ext cx="2972917" cy="12853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19</xdr:col>
      <xdr:colOff>600075</xdr:colOff>
      <xdr:row>55</xdr:row>
      <xdr:rowOff>104775</xdr:rowOff>
    </xdr:from>
    <xdr:to>
      <xdr:col>25</xdr:col>
      <xdr:colOff>600075</xdr:colOff>
      <xdr:row>72</xdr:row>
      <xdr:rowOff>95250</xdr:rowOff>
    </xdr:to>
    <xdr:graphicFrame macro="">
      <xdr:nvGraphicFramePr>
        <xdr:cNvPr id="2" name="Graphique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168518</xdr:colOff>
      <xdr:row>23</xdr:row>
      <xdr:rowOff>30979</xdr:rowOff>
    </xdr:from>
    <xdr:to>
      <xdr:col>10</xdr:col>
      <xdr:colOff>1172308</xdr:colOff>
      <xdr:row>26</xdr:row>
      <xdr:rowOff>75814</xdr:rowOff>
    </xdr:to>
    <xdr:pic>
      <xdr:nvPicPr>
        <xdr:cNvPr id="2" name="Imag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5824903" y="3760383"/>
          <a:ext cx="3289790" cy="52841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685800</xdr:colOff>
          <xdr:row>26</xdr:row>
          <xdr:rowOff>0</xdr:rowOff>
        </xdr:from>
        <xdr:to>
          <xdr:col>14</xdr:col>
          <xdr:colOff>209550</xdr:colOff>
          <xdr:row>30</xdr:row>
          <xdr:rowOff>9525</xdr:rowOff>
        </xdr:to>
        <xdr:sp macro="" textlink="">
          <xdr:nvSpPr>
            <xdr:cNvPr id="13314" name="Object 2" hidden="1">
              <a:extLst>
                <a:ext uri="{63B3BB69-23CF-44E3-9099-C40C66FF867C}">
                  <a14:compatExt spid="_x0000_s13314"/>
                </a:ext>
                <a:ext uri="{FF2B5EF4-FFF2-40B4-BE49-F238E27FC236}">
                  <a16:creationId xmlns:a16="http://schemas.microsoft.com/office/drawing/2014/main" id="{00000000-0008-0000-0B00-0000023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733425</xdr:colOff>
          <xdr:row>37</xdr:row>
          <xdr:rowOff>0</xdr:rowOff>
        </xdr:from>
        <xdr:to>
          <xdr:col>13</xdr:col>
          <xdr:colOff>352425</xdr:colOff>
          <xdr:row>39</xdr:row>
          <xdr:rowOff>95250</xdr:rowOff>
        </xdr:to>
        <xdr:sp macro="" textlink="">
          <xdr:nvSpPr>
            <xdr:cNvPr id="13315" name="Object 3" hidden="1">
              <a:extLst>
                <a:ext uri="{63B3BB69-23CF-44E3-9099-C40C66FF867C}">
                  <a14:compatExt spid="_x0000_s13315"/>
                </a:ext>
                <a:ext uri="{FF2B5EF4-FFF2-40B4-BE49-F238E27FC236}">
                  <a16:creationId xmlns:a16="http://schemas.microsoft.com/office/drawing/2014/main" id="{00000000-0008-0000-0B00-0000033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editAs="oneCell">
    <xdr:from>
      <xdr:col>14</xdr:col>
      <xdr:colOff>314325</xdr:colOff>
      <xdr:row>2</xdr:row>
      <xdr:rowOff>85725</xdr:rowOff>
    </xdr:from>
    <xdr:to>
      <xdr:col>17</xdr:col>
      <xdr:colOff>334417</xdr:colOff>
      <xdr:row>4</xdr:row>
      <xdr:rowOff>163486</xdr:rowOff>
    </xdr:to>
    <xdr:pic>
      <xdr:nvPicPr>
        <xdr:cNvPr id="2" name="Picture 2" descr="D:\Divers\logos\GxABT_transparent.png">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81775" y="466725"/>
          <a:ext cx="1363117" cy="4587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114300</xdr:colOff>
      <xdr:row>2</xdr:row>
      <xdr:rowOff>114300</xdr:rowOff>
    </xdr:from>
    <xdr:to>
      <xdr:col>19</xdr:col>
      <xdr:colOff>436214</xdr:colOff>
      <xdr:row>4</xdr:row>
      <xdr:rowOff>166280</xdr:rowOff>
    </xdr:to>
    <xdr:pic>
      <xdr:nvPicPr>
        <xdr:cNvPr id="3" name="Picture 26" descr="SPWTRANS">
          <a:extLst>
            <a:ext uri="{FF2B5EF4-FFF2-40B4-BE49-F238E27FC236}">
              <a16:creationId xmlns:a16="http://schemas.microsoft.com/office/drawing/2014/main" id="{00000000-0008-0000-0D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72450" y="495300"/>
          <a:ext cx="769589" cy="432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314325</xdr:colOff>
      <xdr:row>2</xdr:row>
      <xdr:rowOff>19050</xdr:rowOff>
    </xdr:from>
    <xdr:to>
      <xdr:col>14</xdr:col>
      <xdr:colOff>128845</xdr:colOff>
      <xdr:row>4</xdr:row>
      <xdr:rowOff>164813</xdr:rowOff>
    </xdr:to>
    <xdr:pic>
      <xdr:nvPicPr>
        <xdr:cNvPr id="4" name="Picture 24" descr="ulgtrans">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686425" y="400050"/>
          <a:ext cx="709870" cy="5267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11.wmf"/><Relationship Id="rId2" Type="http://schemas.openxmlformats.org/officeDocument/2006/relationships/drawing" Target="../drawings/drawing8.xml"/><Relationship Id="rId1" Type="http://schemas.openxmlformats.org/officeDocument/2006/relationships/printerSettings" Target="../printerSettings/printerSettings12.bin"/><Relationship Id="rId6" Type="http://schemas.openxmlformats.org/officeDocument/2006/relationships/oleObject" Target="../embeddings/oleObject2.bin"/><Relationship Id="rId5" Type="http://schemas.openxmlformats.org/officeDocument/2006/relationships/image" Target="../media/image10.wmf"/><Relationship Id="rId4" Type="http://schemas.openxmlformats.org/officeDocument/2006/relationships/oleObject" Target="../embeddings/oleObject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environnement.wallonie.be/dnf/arbres_remarquables/ANNEXE%202%20de%20la%20Circulaire%20n%C2%B02660%20-%20Valeur%20des%20arbres.pdf" TargetMode="External"/><Relationship Id="rId2" Type="http://schemas.openxmlformats.org/officeDocument/2006/relationships/hyperlink" Target="http://environnement.wallonie.be/dnf/arbres_remarquables/ANNEXE%201%20de%20la%20Circulaire%20n%C2%B02660%20-%20Valeur%20d'agr%C3%A9ment.pdf" TargetMode="External"/><Relationship Id="rId1" Type="http://schemas.openxmlformats.org/officeDocument/2006/relationships/hyperlink" Target="http://environnement.wallonie.be/dnf/arbres_remarquables/Circulaire%20n%C2%B02660%20-%20Valeur%20d'agr%C3%A9ment.pdf" TargetMode="Externa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O46"/>
  <sheetViews>
    <sheetView topLeftCell="A7" zoomScale="115" zoomScaleNormal="115" workbookViewId="0">
      <selection activeCell="M29" sqref="M29"/>
    </sheetView>
  </sheetViews>
  <sheetFormatPr baseColWidth="10" defaultRowHeight="12.75"/>
  <cols>
    <col min="1" max="1" width="2.5703125" bestFit="1" customWidth="1"/>
    <col min="4" max="4" width="27.140625" bestFit="1" customWidth="1"/>
    <col min="6" max="6" width="13.42578125" bestFit="1" customWidth="1"/>
    <col min="11" max="11" width="14.5703125" bestFit="1" customWidth="1"/>
  </cols>
  <sheetData>
    <row r="2" spans="1:15">
      <c r="B2" s="2" t="s">
        <v>0</v>
      </c>
      <c r="C2" s="12"/>
      <c r="D2" s="12"/>
    </row>
    <row r="3" spans="1:15">
      <c r="B3" s="2"/>
    </row>
    <row r="4" spans="1:15">
      <c r="B4" s="2"/>
    </row>
    <row r="5" spans="1:15">
      <c r="B5" t="s">
        <v>75</v>
      </c>
    </row>
    <row r="6" spans="1:15">
      <c r="B6" t="s">
        <v>69</v>
      </c>
    </row>
    <row r="7" spans="1:15">
      <c r="A7" t="s">
        <v>45</v>
      </c>
      <c r="B7" s="18" t="s">
        <v>260</v>
      </c>
    </row>
    <row r="8" spans="1:15">
      <c r="A8" t="s">
        <v>44</v>
      </c>
      <c r="B8" s="18" t="s">
        <v>261</v>
      </c>
    </row>
    <row r="10" spans="1:15">
      <c r="J10" s="15"/>
      <c r="K10" s="12"/>
      <c r="L10" s="12"/>
    </row>
    <row r="12" spans="1:15" ht="16.5" thickBot="1">
      <c r="B12" s="50" t="s">
        <v>145</v>
      </c>
      <c r="E12" s="12"/>
      <c r="F12" s="12"/>
      <c r="H12" s="12"/>
      <c r="I12" s="156" t="s">
        <v>446</v>
      </c>
      <c r="J12" s="12"/>
      <c r="K12" s="12"/>
    </row>
    <row r="13" spans="1:15">
      <c r="I13" s="145"/>
      <c r="J13" s="146"/>
      <c r="K13" s="146"/>
      <c r="L13" s="146"/>
      <c r="M13" s="146"/>
      <c r="N13" s="151" t="s">
        <v>275</v>
      </c>
      <c r="O13" s="232">
        <v>0.04</v>
      </c>
    </row>
    <row r="14" spans="1:15">
      <c r="I14" s="147"/>
      <c r="J14" s="16"/>
      <c r="K14" s="16"/>
      <c r="L14" s="16"/>
      <c r="M14" s="16"/>
      <c r="N14" s="16"/>
      <c r="O14" s="148"/>
    </row>
    <row r="15" spans="1:15">
      <c r="C15" s="39" t="s">
        <v>1</v>
      </c>
      <c r="D15" s="39" t="s">
        <v>46</v>
      </c>
      <c r="E15" s="39" t="s">
        <v>64</v>
      </c>
      <c r="F15" s="49"/>
      <c r="I15" s="147"/>
      <c r="J15" s="183" t="s">
        <v>270</v>
      </c>
      <c r="K15" s="183" t="s">
        <v>271</v>
      </c>
      <c r="L15" s="183" t="s">
        <v>272</v>
      </c>
      <c r="M15" s="186" t="s">
        <v>273</v>
      </c>
      <c r="N15" s="186" t="s">
        <v>274</v>
      </c>
      <c r="O15" s="184" t="s">
        <v>277</v>
      </c>
    </row>
    <row r="16" spans="1:15">
      <c r="C16" s="3">
        <v>0</v>
      </c>
      <c r="D16" s="10" t="s">
        <v>49</v>
      </c>
      <c r="E16" s="66">
        <v>-2700</v>
      </c>
      <c r="I16" s="147"/>
      <c r="J16" s="23">
        <f>E16/(1+0.03)^(C16)</f>
        <v>-2700</v>
      </c>
      <c r="K16" s="23">
        <f>E16/(1+0.04)^(C16)</f>
        <v>-2700</v>
      </c>
      <c r="L16" s="23">
        <v>-3500</v>
      </c>
      <c r="M16" s="187">
        <f>(E16+L16)/(1+0.03)^C16</f>
        <v>-6200</v>
      </c>
      <c r="N16" s="187">
        <f>(E16+L16)/(1+0.04)^C16</f>
        <v>-6200</v>
      </c>
      <c r="O16" s="185">
        <f>(E16+L16)/(1+O$13)^(C16)</f>
        <v>-6200</v>
      </c>
    </row>
    <row r="17" spans="2:15">
      <c r="C17" s="3">
        <v>1</v>
      </c>
      <c r="D17" s="10" t="s">
        <v>50</v>
      </c>
      <c r="E17" s="66">
        <v>-900</v>
      </c>
      <c r="I17" s="147"/>
      <c r="J17" s="16">
        <f t="shared" ref="J17:J27" si="0">E17/(1+0.03)^(C17)</f>
        <v>-873.78640776699024</v>
      </c>
      <c r="K17" s="16">
        <f t="shared" ref="K17:K27" si="1">E17/(1+0.04)^(C17)</f>
        <v>-865.38461538461536</v>
      </c>
      <c r="L17" s="16">
        <v>0</v>
      </c>
      <c r="M17" s="188">
        <f t="shared" ref="M17:M27" si="2">(E17+L17)/(1+0.03)^C17</f>
        <v>-873.78640776699024</v>
      </c>
      <c r="N17" s="188">
        <f t="shared" ref="N17:N27" si="3">(E17+L17)/(1+0.04)^C17</f>
        <v>-865.38461538461536</v>
      </c>
      <c r="O17" s="148">
        <f t="shared" ref="O17:O27" si="4">(E17+L17)/(1+O$13)^(C17)</f>
        <v>-865.38461538461536</v>
      </c>
    </row>
    <row r="18" spans="2:15">
      <c r="C18" s="3">
        <v>2</v>
      </c>
      <c r="D18" s="10" t="s">
        <v>50</v>
      </c>
      <c r="E18" s="66">
        <v>-900</v>
      </c>
      <c r="I18" s="147"/>
      <c r="J18" s="16">
        <f t="shared" si="0"/>
        <v>-848.33631822037898</v>
      </c>
      <c r="K18" s="16">
        <f t="shared" si="1"/>
        <v>-832.10059171597629</v>
      </c>
      <c r="L18" s="16">
        <v>0</v>
      </c>
      <c r="M18" s="188">
        <f t="shared" si="2"/>
        <v>-848.33631822037898</v>
      </c>
      <c r="N18" s="188">
        <f t="shared" si="3"/>
        <v>-832.10059171597629</v>
      </c>
      <c r="O18" s="148">
        <f t="shared" si="4"/>
        <v>-832.10059171597629</v>
      </c>
    </row>
    <row r="19" spans="2:15">
      <c r="C19" s="3">
        <v>19</v>
      </c>
      <c r="D19" s="10" t="s">
        <v>51</v>
      </c>
      <c r="E19" s="66">
        <v>-1900</v>
      </c>
      <c r="I19" s="147"/>
      <c r="J19" s="16">
        <f t="shared" si="0"/>
        <v>-1083.5434509426575</v>
      </c>
      <c r="K19" s="16">
        <f t="shared" si="1"/>
        <v>-901.82060569375312</v>
      </c>
      <c r="L19" s="16">
        <v>0</v>
      </c>
      <c r="M19" s="188">
        <f t="shared" si="2"/>
        <v>-1083.5434509426575</v>
      </c>
      <c r="N19" s="188">
        <f t="shared" si="3"/>
        <v>-901.82060569375312</v>
      </c>
      <c r="O19" s="148">
        <f t="shared" si="4"/>
        <v>-901.82060569375312</v>
      </c>
    </row>
    <row r="20" spans="2:15">
      <c r="C20" s="3">
        <v>20</v>
      </c>
      <c r="D20" s="10" t="s">
        <v>52</v>
      </c>
      <c r="E20" s="66">
        <v>-100</v>
      </c>
      <c r="I20" s="147"/>
      <c r="J20" s="16">
        <f t="shared" si="0"/>
        <v>-55.3675754186335</v>
      </c>
      <c r="K20" s="16">
        <f t="shared" si="1"/>
        <v>-45.638694620129208</v>
      </c>
      <c r="L20" s="16">
        <v>0</v>
      </c>
      <c r="M20" s="188">
        <f t="shared" si="2"/>
        <v>-55.3675754186335</v>
      </c>
      <c r="N20" s="188">
        <f t="shared" si="3"/>
        <v>-45.638694620129208</v>
      </c>
      <c r="O20" s="148">
        <f t="shared" si="4"/>
        <v>-45.638694620129208</v>
      </c>
    </row>
    <row r="21" spans="2:15">
      <c r="C21" s="3">
        <v>25</v>
      </c>
      <c r="D21" s="10" t="s">
        <v>52</v>
      </c>
      <c r="E21" s="66">
        <v>0</v>
      </c>
      <c r="I21" s="147"/>
      <c r="J21" s="16">
        <f t="shared" si="0"/>
        <v>0</v>
      </c>
      <c r="K21" s="16">
        <f t="shared" si="1"/>
        <v>0</v>
      </c>
      <c r="L21" s="16">
        <v>0</v>
      </c>
      <c r="M21" s="188">
        <f t="shared" si="2"/>
        <v>0</v>
      </c>
      <c r="N21" s="188">
        <f t="shared" si="3"/>
        <v>0</v>
      </c>
      <c r="O21" s="148">
        <f t="shared" si="4"/>
        <v>0</v>
      </c>
    </row>
    <row r="22" spans="2:15">
      <c r="C22" s="3">
        <v>26</v>
      </c>
      <c r="D22" s="10" t="s">
        <v>53</v>
      </c>
      <c r="E22" s="66">
        <v>-900</v>
      </c>
      <c r="I22" s="147"/>
      <c r="J22" s="16">
        <f t="shared" si="0"/>
        <v>-417.32525469465401</v>
      </c>
      <c r="K22" s="16">
        <f t="shared" si="1"/>
        <v>-324.62030964285333</v>
      </c>
      <c r="L22" s="16">
        <v>0</v>
      </c>
      <c r="M22" s="188">
        <f t="shared" si="2"/>
        <v>-417.32525469465401</v>
      </c>
      <c r="N22" s="188">
        <f t="shared" si="3"/>
        <v>-324.62030964285333</v>
      </c>
      <c r="O22" s="148">
        <f t="shared" si="4"/>
        <v>-324.62030964285333</v>
      </c>
    </row>
    <row r="23" spans="2:15">
      <c r="C23" s="3">
        <v>30</v>
      </c>
      <c r="D23" s="10" t="s">
        <v>52</v>
      </c>
      <c r="E23" s="66">
        <v>500</v>
      </c>
      <c r="I23" s="147"/>
      <c r="J23" s="16">
        <f t="shared" si="0"/>
        <v>205.99337975795345</v>
      </c>
      <c r="K23" s="16">
        <f t="shared" si="1"/>
        <v>154.15933398671015</v>
      </c>
      <c r="L23" s="16">
        <v>0</v>
      </c>
      <c r="M23" s="188">
        <f t="shared" si="2"/>
        <v>205.99337975795345</v>
      </c>
      <c r="N23" s="188">
        <f t="shared" si="3"/>
        <v>154.15933398671015</v>
      </c>
      <c r="O23" s="148">
        <f t="shared" si="4"/>
        <v>154.15933398671015</v>
      </c>
    </row>
    <row r="24" spans="2:15">
      <c r="C24" s="3">
        <v>35</v>
      </c>
      <c r="D24" s="10" t="s">
        <v>52</v>
      </c>
      <c r="E24" s="66">
        <v>700</v>
      </c>
      <c r="I24" s="147"/>
      <c r="J24" s="16">
        <f t="shared" si="0"/>
        <v>248.76837846587114</v>
      </c>
      <c r="K24" s="16">
        <f t="shared" si="1"/>
        <v>177.39082950910336</v>
      </c>
      <c r="L24" s="16">
        <v>0</v>
      </c>
      <c r="M24" s="188">
        <f t="shared" si="2"/>
        <v>248.76837846587114</v>
      </c>
      <c r="N24" s="188">
        <f t="shared" si="3"/>
        <v>177.39082950910336</v>
      </c>
      <c r="O24" s="148">
        <f t="shared" si="4"/>
        <v>177.39082950910336</v>
      </c>
    </row>
    <row r="25" spans="2:15">
      <c r="C25" s="3">
        <v>40</v>
      </c>
      <c r="D25" s="10" t="s">
        <v>52</v>
      </c>
      <c r="E25" s="66">
        <v>1400</v>
      </c>
      <c r="I25" s="147"/>
      <c r="J25" s="16">
        <f t="shared" si="0"/>
        <v>429.1795770833296</v>
      </c>
      <c r="K25" s="16">
        <f t="shared" si="1"/>
        <v>291.60466252811744</v>
      </c>
      <c r="L25" s="16">
        <v>0</v>
      </c>
      <c r="M25" s="188">
        <f t="shared" si="2"/>
        <v>429.1795770833296</v>
      </c>
      <c r="N25" s="188">
        <f t="shared" si="3"/>
        <v>291.60466252811744</v>
      </c>
      <c r="O25" s="148">
        <f t="shared" si="4"/>
        <v>291.60466252811744</v>
      </c>
    </row>
    <row r="26" spans="2:15">
      <c r="C26" s="3">
        <v>45</v>
      </c>
      <c r="D26" s="10" t="s">
        <v>52</v>
      </c>
      <c r="E26" s="66">
        <v>1700</v>
      </c>
      <c r="I26" s="147"/>
      <c r="J26" s="16">
        <f t="shared" si="0"/>
        <v>449.54566039972354</v>
      </c>
      <c r="K26" s="16">
        <f t="shared" si="1"/>
        <v>291.03730014411684</v>
      </c>
      <c r="L26" s="16">
        <v>0</v>
      </c>
      <c r="M26" s="188">
        <f t="shared" si="2"/>
        <v>449.54566039972354</v>
      </c>
      <c r="N26" s="188">
        <f t="shared" si="3"/>
        <v>291.03730014411684</v>
      </c>
      <c r="O26" s="148">
        <f t="shared" si="4"/>
        <v>291.03730014411684</v>
      </c>
    </row>
    <row r="27" spans="2:15">
      <c r="C27" s="3">
        <v>50</v>
      </c>
      <c r="D27" s="10" t="s">
        <v>54</v>
      </c>
      <c r="E27" s="66">
        <v>28000</v>
      </c>
      <c r="I27" s="147"/>
      <c r="J27" s="153">
        <f t="shared" si="0"/>
        <v>6386.9982341131117</v>
      </c>
      <c r="K27" s="153">
        <f t="shared" si="1"/>
        <v>3939.9532293307029</v>
      </c>
      <c r="L27" s="153">
        <f>3500</f>
        <v>3500</v>
      </c>
      <c r="M27" s="189">
        <f t="shared" si="2"/>
        <v>7185.3730133772506</v>
      </c>
      <c r="N27" s="189">
        <f t="shared" si="3"/>
        <v>4432.4473829970411</v>
      </c>
      <c r="O27" s="154">
        <f t="shared" si="4"/>
        <v>4432.4473829970411</v>
      </c>
    </row>
    <row r="28" spans="2:15">
      <c r="I28" s="147"/>
      <c r="J28" s="16"/>
      <c r="K28" s="16"/>
      <c r="L28" s="16"/>
      <c r="M28" s="16"/>
      <c r="N28" s="16"/>
      <c r="O28" s="148"/>
    </row>
    <row r="29" spans="2:15" ht="13.5" thickBot="1">
      <c r="B29" s="13"/>
      <c r="F29" s="12"/>
      <c r="I29" s="152" t="s">
        <v>276</v>
      </c>
      <c r="J29" s="192">
        <f>SUM(J16:J27)</f>
        <v>1742.1262227766747</v>
      </c>
      <c r="K29" s="192">
        <f>SUM(K16:K27)</f>
        <v>-815.41946155857659</v>
      </c>
      <c r="L29" s="190" t="s">
        <v>277</v>
      </c>
      <c r="M29" s="191">
        <f>SUM(M16:M27)</f>
        <v>-959.49899795918463</v>
      </c>
      <c r="N29" s="191">
        <f>SUM(N16:N27)</f>
        <v>-3822.9253078922357</v>
      </c>
      <c r="O29" s="150">
        <f>SUM(O16:O27)</f>
        <v>-3822.9253078922357</v>
      </c>
    </row>
    <row r="30" spans="2:15">
      <c r="B30" s="54" t="s">
        <v>24</v>
      </c>
      <c r="C30" t="s">
        <v>25</v>
      </c>
    </row>
    <row r="31" spans="2:15">
      <c r="C31" t="s">
        <v>26</v>
      </c>
    </row>
    <row r="32" spans="2:15" ht="16.5" thickBot="1">
      <c r="I32" s="156" t="s">
        <v>466</v>
      </c>
    </row>
    <row r="33" spans="9:15">
      <c r="I33" s="247" t="s">
        <v>429</v>
      </c>
      <c r="J33" s="151" t="s">
        <v>289</v>
      </c>
      <c r="K33" s="151"/>
      <c r="L33" s="151" t="s">
        <v>431</v>
      </c>
      <c r="M33" s="151" t="s">
        <v>430</v>
      </c>
      <c r="N33" s="151" t="s">
        <v>432</v>
      </c>
      <c r="O33" s="223"/>
    </row>
    <row r="34" spans="9:15">
      <c r="I34" s="229">
        <v>43831</v>
      </c>
      <c r="J34" s="227">
        <v>0</v>
      </c>
      <c r="K34" s="23" t="s">
        <v>49</v>
      </c>
      <c r="L34" s="228">
        <v>-2700</v>
      </c>
      <c r="M34" s="23">
        <v>-3500</v>
      </c>
      <c r="N34" s="206">
        <f>SUM(L34:M34)</f>
        <v>-6200</v>
      </c>
      <c r="O34" s="148"/>
    </row>
    <row r="35" spans="9:15">
      <c r="I35" s="230">
        <f t="shared" ref="I35:I45" si="5">DATE(YEAR(I$34)+J35,1,1)</f>
        <v>44197</v>
      </c>
      <c r="J35" s="21">
        <v>1</v>
      </c>
      <c r="K35" s="16" t="s">
        <v>50</v>
      </c>
      <c r="L35" s="71">
        <v>-900</v>
      </c>
      <c r="M35" s="16"/>
      <c r="N35" s="204">
        <f t="shared" ref="N35:N45" si="6">SUM(L35:M35)</f>
        <v>-900</v>
      </c>
      <c r="O35" s="148"/>
    </row>
    <row r="36" spans="9:15">
      <c r="I36" s="230">
        <f t="shared" si="5"/>
        <v>44562</v>
      </c>
      <c r="J36" s="21">
        <v>2</v>
      </c>
      <c r="K36" s="16" t="s">
        <v>50</v>
      </c>
      <c r="L36" s="71">
        <v>-900</v>
      </c>
      <c r="M36" s="16"/>
      <c r="N36" s="204">
        <f t="shared" si="6"/>
        <v>-900</v>
      </c>
      <c r="O36" s="148"/>
    </row>
    <row r="37" spans="9:15">
      <c r="I37" s="230">
        <f t="shared" si="5"/>
        <v>50771</v>
      </c>
      <c r="J37" s="21">
        <v>19</v>
      </c>
      <c r="K37" s="16" t="s">
        <v>51</v>
      </c>
      <c r="L37" s="71">
        <v>-1900</v>
      </c>
      <c r="M37" s="16"/>
      <c r="N37" s="204">
        <f t="shared" si="6"/>
        <v>-1900</v>
      </c>
      <c r="O37" s="148"/>
    </row>
    <row r="38" spans="9:15">
      <c r="I38" s="230">
        <f t="shared" si="5"/>
        <v>51136</v>
      </c>
      <c r="J38" s="21">
        <v>20</v>
      </c>
      <c r="K38" s="16" t="s">
        <v>52</v>
      </c>
      <c r="L38" s="71">
        <v>-100</v>
      </c>
      <c r="M38" s="16"/>
      <c r="N38" s="204">
        <f t="shared" si="6"/>
        <v>-100</v>
      </c>
      <c r="O38" s="148"/>
    </row>
    <row r="39" spans="9:15">
      <c r="I39" s="230">
        <f t="shared" si="5"/>
        <v>52963</v>
      </c>
      <c r="J39" s="21">
        <v>25</v>
      </c>
      <c r="K39" s="16" t="s">
        <v>52</v>
      </c>
      <c r="L39" s="71">
        <v>0</v>
      </c>
      <c r="M39" s="16"/>
      <c r="N39" s="204">
        <f t="shared" si="6"/>
        <v>0</v>
      </c>
      <c r="O39" s="148"/>
    </row>
    <row r="40" spans="9:15">
      <c r="I40" s="230">
        <f t="shared" si="5"/>
        <v>53328</v>
      </c>
      <c r="J40" s="21">
        <v>26</v>
      </c>
      <c r="K40" s="16" t="s">
        <v>53</v>
      </c>
      <c r="L40" s="71">
        <v>-900</v>
      </c>
      <c r="M40" s="16"/>
      <c r="N40" s="204">
        <f t="shared" si="6"/>
        <v>-900</v>
      </c>
      <c r="O40" s="148"/>
    </row>
    <row r="41" spans="9:15">
      <c r="I41" s="230">
        <f t="shared" si="5"/>
        <v>54789</v>
      </c>
      <c r="J41" s="21">
        <v>30</v>
      </c>
      <c r="K41" s="16" t="s">
        <v>52</v>
      </c>
      <c r="L41" s="71">
        <v>500</v>
      </c>
      <c r="M41" s="16"/>
      <c r="N41" s="204">
        <f t="shared" si="6"/>
        <v>500</v>
      </c>
      <c r="O41" s="148"/>
    </row>
    <row r="42" spans="9:15">
      <c r="I42" s="230">
        <f t="shared" si="5"/>
        <v>56615</v>
      </c>
      <c r="J42" s="21">
        <v>35</v>
      </c>
      <c r="K42" s="16" t="s">
        <v>52</v>
      </c>
      <c r="L42" s="71">
        <v>700</v>
      </c>
      <c r="M42" s="16"/>
      <c r="N42" s="204">
        <f t="shared" si="6"/>
        <v>700</v>
      </c>
      <c r="O42" s="148"/>
    </row>
    <row r="43" spans="9:15">
      <c r="I43" s="230">
        <f t="shared" si="5"/>
        <v>58441</v>
      </c>
      <c r="J43" s="21">
        <v>40</v>
      </c>
      <c r="K43" s="16" t="s">
        <v>52</v>
      </c>
      <c r="L43" s="71">
        <v>1400</v>
      </c>
      <c r="M43" s="16"/>
      <c r="N43" s="204">
        <f t="shared" si="6"/>
        <v>1400</v>
      </c>
      <c r="O43" s="148"/>
    </row>
    <row r="44" spans="9:15">
      <c r="I44" s="230">
        <f t="shared" si="5"/>
        <v>60268</v>
      </c>
      <c r="J44" s="21">
        <v>45</v>
      </c>
      <c r="K44" s="16" t="s">
        <v>52</v>
      </c>
      <c r="L44" s="71">
        <v>1700</v>
      </c>
      <c r="M44" s="16"/>
      <c r="N44" s="204">
        <f t="shared" si="6"/>
        <v>1700</v>
      </c>
      <c r="O44" s="148"/>
    </row>
    <row r="45" spans="9:15">
      <c r="I45" s="231">
        <f t="shared" si="5"/>
        <v>62094</v>
      </c>
      <c r="J45" s="225">
        <v>50</v>
      </c>
      <c r="K45" s="153" t="s">
        <v>54</v>
      </c>
      <c r="L45" s="226">
        <v>28000</v>
      </c>
      <c r="M45" s="153">
        <v>3500</v>
      </c>
      <c r="N45" s="205">
        <f t="shared" si="6"/>
        <v>31500</v>
      </c>
      <c r="O45" s="148"/>
    </row>
    <row r="46" spans="9:15" ht="13.5" thickBot="1">
      <c r="I46" s="195"/>
      <c r="J46" s="149"/>
      <c r="K46" s="149"/>
      <c r="L46" s="149"/>
      <c r="M46" s="224" t="s">
        <v>275</v>
      </c>
      <c r="N46" s="233">
        <f>XIRR(N34:N45,I34:I45)</f>
        <v>2.7516087889671324E-2</v>
      </c>
      <c r="O46" s="150"/>
    </row>
  </sheetData>
  <phoneticPr fontId="4" type="noConversion"/>
  <pageMargins left="0.78740157499999996" right="0.78740157499999996" top="0.984251969" bottom="0.984251969" header="0.4921259845" footer="0.4921259845"/>
  <pageSetup paperSize="9" scale="57"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2:Q52"/>
  <sheetViews>
    <sheetView tabSelected="1" zoomScaleNormal="100" workbookViewId="0">
      <selection activeCell="E26" sqref="E26"/>
    </sheetView>
  </sheetViews>
  <sheetFormatPr baseColWidth="10" defaultRowHeight="12.75"/>
  <cols>
    <col min="1" max="1" width="2.5703125" bestFit="1" customWidth="1"/>
    <col min="2" max="2" width="12.7109375" customWidth="1"/>
    <col min="4" max="4" width="27.140625" bestFit="1" customWidth="1"/>
    <col min="5" max="5" width="17.42578125" customWidth="1"/>
    <col min="6" max="6" width="7.140625" customWidth="1"/>
  </cols>
  <sheetData>
    <row r="2" spans="2:11">
      <c r="B2" s="2" t="s">
        <v>170</v>
      </c>
    </row>
    <row r="4" spans="2:11">
      <c r="B4" s="18" t="s">
        <v>192</v>
      </c>
    </row>
    <row r="6" spans="2:11">
      <c r="B6" s="18" t="s">
        <v>194</v>
      </c>
    </row>
    <row r="7" spans="2:11">
      <c r="B7" s="18" t="s">
        <v>191</v>
      </c>
    </row>
    <row r="8" spans="2:11">
      <c r="B8" s="18" t="s">
        <v>195</v>
      </c>
    </row>
    <row r="9" spans="2:11">
      <c r="B9" s="18" t="s">
        <v>193</v>
      </c>
    </row>
    <row r="10" spans="2:11">
      <c r="C10" s="12"/>
    </row>
    <row r="11" spans="2:11">
      <c r="B11" s="18" t="s">
        <v>566</v>
      </c>
      <c r="C11" s="18"/>
      <c r="G11" s="12"/>
      <c r="H11" s="12"/>
      <c r="I11" s="12"/>
      <c r="J11" s="12"/>
      <c r="K11" s="12"/>
    </row>
    <row r="12" spans="2:11">
      <c r="B12" s="18" t="s">
        <v>190</v>
      </c>
      <c r="C12" s="18"/>
    </row>
    <row r="13" spans="2:11">
      <c r="B13" s="17" t="s">
        <v>262</v>
      </c>
      <c r="C13" s="17"/>
      <c r="D13" s="12"/>
      <c r="E13" s="12"/>
      <c r="F13" s="12"/>
      <c r="G13" s="12"/>
    </row>
    <row r="14" spans="2:11">
      <c r="B14" s="18" t="s">
        <v>263</v>
      </c>
      <c r="C14" s="18"/>
    </row>
    <row r="15" spans="2:11">
      <c r="C15" s="18"/>
    </row>
    <row r="16" spans="2:11" ht="13.5" thickBot="1">
      <c r="C16" s="17"/>
    </row>
    <row r="17" spans="2:17">
      <c r="B17" s="616" t="s">
        <v>307</v>
      </c>
      <c r="C17" s="628">
        <v>0.05</v>
      </c>
      <c r="D17" s="617"/>
    </row>
    <row r="18" spans="2:17" ht="13.5" thickBot="1">
      <c r="B18" s="618"/>
      <c r="C18" s="378"/>
      <c r="D18" s="619"/>
      <c r="F18" s="12"/>
    </row>
    <row r="19" spans="2:17">
      <c r="B19" s="620" t="s">
        <v>329</v>
      </c>
      <c r="C19" s="621"/>
      <c r="D19" s="622"/>
    </row>
    <row r="20" spans="2:17">
      <c r="B20" s="818" t="s">
        <v>289</v>
      </c>
      <c r="C20" s="750" t="s">
        <v>290</v>
      </c>
      <c r="D20" s="819" t="s">
        <v>543</v>
      </c>
    </row>
    <row r="21" spans="2:17">
      <c r="B21" s="618">
        <v>1</v>
      </c>
      <c r="C21" s="378">
        <v>250</v>
      </c>
      <c r="D21" s="619">
        <f t="shared" ref="D21:D30" si="0">C21/(1+$C$17)^B21</f>
        <v>238.09523809523807</v>
      </c>
      <c r="E21" s="41"/>
      <c r="F21" s="16"/>
    </row>
    <row r="22" spans="2:17">
      <c r="B22" s="618">
        <v>2</v>
      </c>
      <c r="C22" s="378">
        <v>250</v>
      </c>
      <c r="D22" s="619">
        <f t="shared" si="0"/>
        <v>226.75736961451247</v>
      </c>
      <c r="E22" s="21"/>
      <c r="F22" s="16"/>
    </row>
    <row r="23" spans="2:17">
      <c r="B23" s="618">
        <v>3</v>
      </c>
      <c r="C23" s="378">
        <v>250</v>
      </c>
      <c r="D23" s="619">
        <f t="shared" si="0"/>
        <v>215.95939963286901</v>
      </c>
      <c r="E23" s="21"/>
      <c r="F23" s="16"/>
      <c r="Q23" s="18"/>
    </row>
    <row r="24" spans="2:17">
      <c r="B24" s="618">
        <v>4</v>
      </c>
      <c r="C24" s="378">
        <v>250</v>
      </c>
      <c r="D24" s="619">
        <f t="shared" si="0"/>
        <v>205.67561869797049</v>
      </c>
      <c r="E24" s="21"/>
      <c r="F24" s="16"/>
    </row>
    <row r="25" spans="2:17">
      <c r="B25" s="618">
        <v>5</v>
      </c>
      <c r="C25" s="378">
        <v>250</v>
      </c>
      <c r="D25" s="619">
        <f t="shared" si="0"/>
        <v>195.88154161711475</v>
      </c>
      <c r="E25" s="21"/>
      <c r="F25" s="16"/>
    </row>
    <row r="26" spans="2:17">
      <c r="B26" s="618">
        <v>6</v>
      </c>
      <c r="C26" s="378">
        <v>250</v>
      </c>
      <c r="D26" s="619">
        <f t="shared" si="0"/>
        <v>186.55384915915693</v>
      </c>
      <c r="E26" s="21"/>
      <c r="F26" s="16"/>
    </row>
    <row r="27" spans="2:17">
      <c r="B27" s="618">
        <v>7</v>
      </c>
      <c r="C27" s="378">
        <v>250</v>
      </c>
      <c r="D27" s="619">
        <f t="shared" si="0"/>
        <v>177.67033253253035</v>
      </c>
      <c r="E27" s="21"/>
      <c r="F27" s="16"/>
    </row>
    <row r="28" spans="2:17">
      <c r="B28" s="618">
        <v>8</v>
      </c>
      <c r="C28" s="378">
        <v>250</v>
      </c>
      <c r="D28" s="619">
        <f t="shared" si="0"/>
        <v>169.2098405071718</v>
      </c>
      <c r="E28" s="14"/>
      <c r="F28" s="16"/>
    </row>
    <row r="29" spans="2:17">
      <c r="B29" s="618">
        <v>9</v>
      </c>
      <c r="C29" s="378">
        <v>250</v>
      </c>
      <c r="D29" s="619">
        <f t="shared" si="0"/>
        <v>161.15222905444932</v>
      </c>
      <c r="E29" s="14"/>
      <c r="F29" s="16"/>
    </row>
    <row r="30" spans="2:17">
      <c r="B30" s="618">
        <v>10</v>
      </c>
      <c r="C30" s="378">
        <v>250</v>
      </c>
      <c r="D30" s="619">
        <f t="shared" si="0"/>
        <v>153.47831338518984</v>
      </c>
      <c r="E30" s="14"/>
      <c r="F30" s="16"/>
    </row>
    <row r="31" spans="2:17">
      <c r="B31" s="618"/>
      <c r="C31" s="378"/>
      <c r="D31" s="619"/>
      <c r="E31" s="14"/>
      <c r="F31" s="16"/>
    </row>
    <row r="32" spans="2:17">
      <c r="B32" s="618"/>
      <c r="C32" s="539" t="s">
        <v>567</v>
      </c>
      <c r="D32" s="619">
        <f>SUM(D21:D30)</f>
        <v>1930.4337322962033</v>
      </c>
      <c r="E32" s="14"/>
      <c r="F32" s="16"/>
    </row>
    <row r="33" spans="2:10" ht="13.5" thickBot="1">
      <c r="B33" s="624"/>
      <c r="C33" s="625"/>
      <c r="D33" s="626"/>
      <c r="E33" s="14"/>
      <c r="F33" s="16"/>
    </row>
    <row r="34" spans="2:10">
      <c r="B34" s="620" t="s">
        <v>330</v>
      </c>
      <c r="C34" s="621"/>
      <c r="D34" s="622"/>
      <c r="E34" s="14"/>
      <c r="F34" s="16"/>
    </row>
    <row r="35" spans="2:10">
      <c r="B35" s="818" t="s">
        <v>289</v>
      </c>
      <c r="C35" s="750" t="s">
        <v>290</v>
      </c>
      <c r="D35" s="819" t="s">
        <v>543</v>
      </c>
      <c r="E35" s="14"/>
      <c r="F35" s="16"/>
    </row>
    <row r="36" spans="2:10" ht="13.5" thickBot="1">
      <c r="B36" s="624">
        <v>40</v>
      </c>
      <c r="C36" s="627">
        <f>500/C17</f>
        <v>10000</v>
      </c>
      <c r="D36" s="626">
        <f>C36/(1+C17)^B36</f>
        <v>1420.4568230027783</v>
      </c>
      <c r="E36" s="16"/>
      <c r="F36" s="16"/>
    </row>
    <row r="38" spans="2:10">
      <c r="B38" s="304" t="s">
        <v>509</v>
      </c>
      <c r="C38" s="305"/>
      <c r="D38" s="305"/>
      <c r="E38" s="305"/>
      <c r="F38" s="629">
        <f xml:space="preserve"> 1/1.05^40</f>
        <v>0.14204568230027784</v>
      </c>
      <c r="G38" s="305"/>
      <c r="H38" s="305"/>
      <c r="I38" s="12"/>
      <c r="J38" s="12"/>
    </row>
    <row r="39" spans="2:10">
      <c r="B39" s="304" t="s">
        <v>513</v>
      </c>
      <c r="C39" s="305"/>
      <c r="D39" s="305"/>
      <c r="E39" s="305"/>
      <c r="F39" s="305"/>
      <c r="G39" s="305"/>
      <c r="H39" s="305"/>
      <c r="I39" s="12"/>
      <c r="J39" s="12"/>
    </row>
    <row r="40" spans="2:10">
      <c r="B40" s="305"/>
      <c r="C40" s="305"/>
      <c r="D40" s="305"/>
      <c r="E40" s="305"/>
      <c r="F40" s="305"/>
      <c r="G40" s="305"/>
      <c r="H40" s="305"/>
      <c r="I40" s="12"/>
      <c r="J40" s="12"/>
    </row>
    <row r="41" spans="2:10">
      <c r="B41" s="304" t="s">
        <v>510</v>
      </c>
      <c r="C41" s="305"/>
      <c r="D41" s="305"/>
      <c r="E41" s="305"/>
      <c r="F41" s="305"/>
      <c r="G41" s="305"/>
      <c r="H41" s="305"/>
      <c r="I41" s="12"/>
      <c r="J41" s="12"/>
    </row>
    <row r="42" spans="2:10">
      <c r="B42" s="304" t="s">
        <v>514</v>
      </c>
      <c r="C42" s="305"/>
      <c r="D42" s="305"/>
      <c r="E42" s="305"/>
      <c r="F42" s="305"/>
      <c r="G42" s="305"/>
      <c r="H42" s="305"/>
      <c r="I42" s="12"/>
      <c r="J42" s="12"/>
    </row>
    <row r="43" spans="2:10">
      <c r="B43" s="305"/>
      <c r="C43" s="305"/>
      <c r="D43" s="305"/>
      <c r="E43" s="305"/>
      <c r="F43" s="305"/>
      <c r="G43" s="305"/>
      <c r="H43" s="305"/>
      <c r="I43" s="12"/>
      <c r="J43" s="12"/>
    </row>
    <row r="44" spans="2:10">
      <c r="B44" s="305" t="s">
        <v>515</v>
      </c>
      <c r="C44" s="305"/>
      <c r="D44" s="305"/>
      <c r="E44" s="305"/>
      <c r="F44" s="305"/>
      <c r="G44" s="305"/>
      <c r="H44" s="305"/>
      <c r="I44" s="12"/>
      <c r="J44" s="12"/>
    </row>
    <row r="45" spans="2:10">
      <c r="B45" s="305"/>
      <c r="C45" s="305"/>
      <c r="D45" s="305"/>
      <c r="E45" s="305"/>
      <c r="F45" s="305"/>
      <c r="G45" s="305"/>
      <c r="H45" s="305"/>
      <c r="I45" s="12"/>
      <c r="J45" s="12"/>
    </row>
    <row r="46" spans="2:10">
      <c r="B46" s="305" t="s">
        <v>511</v>
      </c>
      <c r="C46" s="305"/>
      <c r="D46" s="305"/>
      <c r="E46" s="305"/>
      <c r="F46" s="305"/>
      <c r="G46" s="305"/>
      <c r="H46" s="305"/>
      <c r="I46" s="12"/>
      <c r="J46" s="12"/>
    </row>
    <row r="47" spans="2:10">
      <c r="B47" s="305" t="s">
        <v>516</v>
      </c>
      <c r="C47" s="305"/>
      <c r="D47" s="305"/>
      <c r="E47" s="305"/>
      <c r="F47" s="305"/>
      <c r="G47" s="305"/>
      <c r="H47" s="305"/>
      <c r="I47" s="12"/>
      <c r="J47" s="12"/>
    </row>
    <row r="48" spans="2:10">
      <c r="B48" s="305" t="s">
        <v>517</v>
      </c>
      <c r="C48" s="305"/>
      <c r="D48" s="305"/>
      <c r="E48" s="305"/>
      <c r="F48" s="305"/>
      <c r="G48" s="305"/>
      <c r="H48" s="305"/>
      <c r="I48" s="12"/>
      <c r="J48" s="12"/>
    </row>
    <row r="49" spans="2:10">
      <c r="B49" s="305" t="s">
        <v>512</v>
      </c>
      <c r="C49" s="305"/>
      <c r="D49" s="305"/>
      <c r="E49" s="305"/>
      <c r="F49" s="305"/>
      <c r="G49" s="305"/>
      <c r="H49" s="305"/>
      <c r="I49" s="12"/>
      <c r="J49" s="12"/>
    </row>
    <row r="50" spans="2:10">
      <c r="B50" s="305"/>
      <c r="C50" s="305"/>
      <c r="D50" s="305"/>
      <c r="E50" s="305"/>
      <c r="F50" s="305"/>
      <c r="G50" s="305"/>
      <c r="H50" s="305"/>
      <c r="I50" s="12"/>
      <c r="J50" s="12"/>
    </row>
    <row r="51" spans="2:10">
      <c r="B51" s="304" t="s">
        <v>568</v>
      </c>
      <c r="C51" s="305"/>
      <c r="D51" s="305"/>
      <c r="E51" s="305"/>
      <c r="F51" s="305"/>
      <c r="G51" s="305"/>
      <c r="H51" s="305"/>
      <c r="I51" s="12"/>
      <c r="J51" s="12"/>
    </row>
    <row r="52" spans="2:10">
      <c r="B52" s="305" t="s">
        <v>537</v>
      </c>
      <c r="C52" s="305"/>
      <c r="D52" s="305"/>
      <c r="E52" s="305"/>
      <c r="F52" s="305"/>
      <c r="G52" s="305"/>
      <c r="H52" s="305"/>
      <c r="I52" s="12"/>
      <c r="J52" s="12"/>
    </row>
  </sheetData>
  <pageMargins left="0.78740157499999996" right="0.78740157499999996" top="0.984251969" bottom="0.984251969" header="0.4921259845" footer="0.4921259845"/>
  <pageSetup paperSize="9" scale="70" fitToHeight="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G31"/>
  <sheetViews>
    <sheetView zoomScale="130" zoomScaleNormal="130" workbookViewId="0">
      <selection activeCell="I14" sqref="I14"/>
    </sheetView>
  </sheetViews>
  <sheetFormatPr baseColWidth="10" defaultRowHeight="12.75"/>
  <cols>
    <col min="1" max="1" width="2.85546875" customWidth="1"/>
    <col min="4" max="4" width="24.85546875" bestFit="1" customWidth="1"/>
    <col min="11" max="11" width="19.5703125" customWidth="1"/>
  </cols>
  <sheetData>
    <row r="2" spans="2:6">
      <c r="B2" s="2" t="s">
        <v>197</v>
      </c>
    </row>
    <row r="4" spans="2:6">
      <c r="B4" s="18" t="s">
        <v>200</v>
      </c>
    </row>
    <row r="5" spans="2:6">
      <c r="B5" s="18" t="s">
        <v>201</v>
      </c>
    </row>
    <row r="6" spans="2:6">
      <c r="B6" s="18" t="s">
        <v>199</v>
      </c>
    </row>
    <row r="7" spans="2:6">
      <c r="B7" s="18" t="s">
        <v>240</v>
      </c>
    </row>
    <row r="8" spans="2:6">
      <c r="B8" s="18" t="s">
        <v>202</v>
      </c>
    </row>
    <row r="9" spans="2:6">
      <c r="B9" s="18" t="s">
        <v>203</v>
      </c>
    </row>
    <row r="11" spans="2:6">
      <c r="C11" s="39" t="s">
        <v>1</v>
      </c>
      <c r="D11" s="39" t="s">
        <v>46</v>
      </c>
      <c r="E11" s="39" t="s">
        <v>64</v>
      </c>
    </row>
    <row r="12" spans="2:6">
      <c r="C12" s="3">
        <v>0</v>
      </c>
      <c r="D12" s="10" t="s">
        <v>49</v>
      </c>
      <c r="E12" s="66">
        <v>-2700</v>
      </c>
      <c r="F12" s="175"/>
    </row>
    <row r="13" spans="2:6">
      <c r="C13" s="3">
        <v>1</v>
      </c>
      <c r="D13" s="10" t="s">
        <v>50</v>
      </c>
      <c r="E13" s="66">
        <v>-900</v>
      </c>
    </row>
    <row r="14" spans="2:6">
      <c r="C14" s="3">
        <v>2</v>
      </c>
      <c r="D14" s="10" t="s">
        <v>50</v>
      </c>
      <c r="E14" s="66">
        <v>-900</v>
      </c>
    </row>
    <row r="15" spans="2:6">
      <c r="C15" s="3">
        <v>4</v>
      </c>
      <c r="D15" s="10" t="s">
        <v>50</v>
      </c>
      <c r="E15" s="66">
        <v>-900</v>
      </c>
    </row>
    <row r="16" spans="2:6" ht="13.5" thickBot="1"/>
    <row r="17" spans="3:7" ht="13.5" thickBot="1">
      <c r="C17" s="630" t="s">
        <v>307</v>
      </c>
      <c r="D17" s="145"/>
      <c r="E17" s="631" t="s">
        <v>331</v>
      </c>
      <c r="F17" s="146"/>
      <c r="G17" s="223"/>
    </row>
    <row r="18" spans="3:7">
      <c r="C18" s="638">
        <v>2.7E-2</v>
      </c>
      <c r="D18" s="639" t="s">
        <v>289</v>
      </c>
      <c r="E18" s="640" t="s">
        <v>290</v>
      </c>
      <c r="F18" s="641" t="s">
        <v>332</v>
      </c>
      <c r="G18" s="642" t="s">
        <v>518</v>
      </c>
    </row>
    <row r="19" spans="3:7">
      <c r="C19" s="147"/>
      <c r="D19" s="198">
        <v>0</v>
      </c>
      <c r="E19" s="160">
        <v>-4000</v>
      </c>
      <c r="F19" s="160">
        <f>-E19</f>
        <v>4000</v>
      </c>
      <c r="G19" s="633">
        <f>F19*(1+$C$18)^(13-D19)</f>
        <v>5655.5618739633237</v>
      </c>
    </row>
    <row r="20" spans="3:7">
      <c r="C20" s="147"/>
      <c r="D20" s="198">
        <v>0</v>
      </c>
      <c r="E20" s="180">
        <v>-2700</v>
      </c>
      <c r="F20" s="160">
        <f t="shared" ref="F20:F23" si="0">-E20</f>
        <v>2700</v>
      </c>
      <c r="G20" s="633">
        <f>F20*(1+$C$18)^(13-D20)</f>
        <v>3817.5042649252432</v>
      </c>
    </row>
    <row r="21" spans="3:7">
      <c r="C21" s="147"/>
      <c r="D21" s="198">
        <v>1</v>
      </c>
      <c r="E21" s="180">
        <v>-900</v>
      </c>
      <c r="F21" s="160">
        <f t="shared" si="0"/>
        <v>900</v>
      </c>
      <c r="G21" s="633">
        <f>F21*(1+$C$18)^(13-D21)</f>
        <v>1239.0471486287713</v>
      </c>
    </row>
    <row r="22" spans="3:7">
      <c r="C22" s="147"/>
      <c r="D22" s="198">
        <v>2</v>
      </c>
      <c r="E22" s="180">
        <v>-900</v>
      </c>
      <c r="F22" s="160">
        <f t="shared" si="0"/>
        <v>900</v>
      </c>
      <c r="G22" s="633">
        <f>F22*(1+$C$18)^(13-D22)</f>
        <v>1206.4723939910141</v>
      </c>
    </row>
    <row r="23" spans="3:7" ht="13.5" thickBot="1">
      <c r="C23" s="195"/>
      <c r="D23" s="199">
        <v>4</v>
      </c>
      <c r="E23" s="636">
        <v>-900</v>
      </c>
      <c r="F23" s="201">
        <f t="shared" si="0"/>
        <v>900</v>
      </c>
      <c r="G23" s="637">
        <f>F23*(1+$C$18)^(13-D23)</f>
        <v>1143.8695570056518</v>
      </c>
    </row>
    <row r="24" spans="3:7">
      <c r="C24" s="147"/>
      <c r="D24" s="16"/>
      <c r="E24" s="16"/>
      <c r="F24" s="16"/>
      <c r="G24" s="633"/>
    </row>
    <row r="25" spans="3:7">
      <c r="C25" s="147"/>
      <c r="D25" s="16"/>
      <c r="E25" s="16"/>
      <c r="F25" s="614" t="s">
        <v>333</v>
      </c>
      <c r="G25" s="634">
        <f>SUM(G19:G23)</f>
        <v>13062.455238514005</v>
      </c>
    </row>
    <row r="26" spans="3:7">
      <c r="C26" s="147"/>
      <c r="D26" s="16"/>
      <c r="E26" s="16"/>
      <c r="F26" s="16"/>
      <c r="G26" s="633"/>
    </row>
    <row r="27" spans="3:7">
      <c r="C27" s="147"/>
      <c r="D27" s="16"/>
      <c r="E27" s="16"/>
      <c r="F27" s="53" t="s">
        <v>334</v>
      </c>
      <c r="G27" s="633"/>
    </row>
    <row r="28" spans="3:7">
      <c r="C28" s="147"/>
      <c r="D28" s="16"/>
      <c r="E28" s="16"/>
      <c r="F28" s="632" t="s">
        <v>337</v>
      </c>
      <c r="G28" s="634">
        <f>G25-4000</f>
        <v>9062.455238514005</v>
      </c>
    </row>
    <row r="29" spans="3:7">
      <c r="C29" s="147"/>
      <c r="D29" s="16"/>
      <c r="E29" s="16"/>
      <c r="F29" s="16"/>
      <c r="G29" s="633"/>
    </row>
    <row r="30" spans="3:7">
      <c r="C30" s="147"/>
      <c r="D30" s="16"/>
      <c r="E30" s="16"/>
      <c r="F30" s="53" t="s">
        <v>336</v>
      </c>
      <c r="G30" s="633"/>
    </row>
    <row r="31" spans="3:7" ht="13.5" thickBot="1">
      <c r="C31" s="195"/>
      <c r="D31" s="149"/>
      <c r="E31" s="149"/>
      <c r="F31" s="615" t="s">
        <v>335</v>
      </c>
      <c r="G31" s="635">
        <f>G28*0.65</f>
        <v>5890.5959050341035</v>
      </c>
    </row>
  </sheetData>
  <pageMargins left="0.7" right="0.7" top="0.75" bottom="0.75" header="0.3" footer="0.3"/>
  <pageSetup paperSize="9" orientation="landscape"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2:O48"/>
  <sheetViews>
    <sheetView zoomScale="70" zoomScaleNormal="70" workbookViewId="0">
      <selection activeCell="P15" sqref="P15"/>
    </sheetView>
  </sheetViews>
  <sheetFormatPr baseColWidth="10" defaultRowHeight="12.75"/>
  <cols>
    <col min="1" max="1" width="2.85546875" customWidth="1"/>
    <col min="4" max="4" width="24.140625" bestFit="1" customWidth="1"/>
    <col min="5" max="5" width="10.28515625" customWidth="1"/>
    <col min="6" max="6" width="16.7109375" bestFit="1" customWidth="1"/>
    <col min="8" max="8" width="15.7109375" bestFit="1" customWidth="1"/>
    <col min="9" max="9" width="24.140625" bestFit="1" customWidth="1"/>
  </cols>
  <sheetData>
    <row r="2" spans="2:15">
      <c r="B2" s="2" t="s">
        <v>198</v>
      </c>
    </row>
    <row r="4" spans="2:15">
      <c r="B4" s="18" t="s">
        <v>243</v>
      </c>
    </row>
    <row r="5" spans="2:15">
      <c r="B5" s="18" t="s">
        <v>244</v>
      </c>
    </row>
    <row r="6" spans="2:15">
      <c r="B6" s="18" t="s">
        <v>245</v>
      </c>
    </row>
    <row r="7" spans="2:15">
      <c r="B7" s="18" t="s">
        <v>246</v>
      </c>
    </row>
    <row r="8" spans="2:15">
      <c r="B8" s="18"/>
    </row>
    <row r="9" spans="2:15">
      <c r="B9" s="18" t="s">
        <v>247</v>
      </c>
    </row>
    <row r="12" spans="2:15">
      <c r="B12" s="699" t="s">
        <v>530</v>
      </c>
      <c r="C12" s="661"/>
      <c r="D12" s="661"/>
      <c r="E12" s="661"/>
      <c r="F12" s="181"/>
      <c r="G12" s="697" t="s">
        <v>529</v>
      </c>
      <c r="H12" s="645"/>
      <c r="I12" s="645"/>
      <c r="J12" s="645"/>
      <c r="K12" s="645"/>
      <c r="L12" s="645"/>
      <c r="M12" s="645"/>
      <c r="N12" s="645"/>
      <c r="O12" s="645"/>
    </row>
    <row r="13" spans="2:15" ht="13.5" thickBot="1">
      <c r="B13" s="661"/>
      <c r="C13" s="661"/>
      <c r="D13" s="661"/>
      <c r="E13" s="661"/>
      <c r="F13" s="160"/>
      <c r="G13" s="645"/>
      <c r="H13" s="646" t="s">
        <v>521</v>
      </c>
      <c r="I13" s="643">
        <v>43</v>
      </c>
      <c r="J13" s="645"/>
      <c r="K13" s="645"/>
      <c r="L13" s="645"/>
      <c r="M13" s="645"/>
      <c r="N13" s="645"/>
      <c r="O13" s="645"/>
    </row>
    <row r="14" spans="2:15" ht="13.5" thickBot="1">
      <c r="B14" s="661"/>
      <c r="C14" s="662" t="s">
        <v>307</v>
      </c>
      <c r="D14" s="643">
        <v>0.04</v>
      </c>
      <c r="E14" s="661"/>
      <c r="F14" s="160"/>
      <c r="G14" s="680" t="s">
        <v>289</v>
      </c>
      <c r="H14" s="681" t="s">
        <v>290</v>
      </c>
      <c r="I14" s="682" t="s">
        <v>519</v>
      </c>
      <c r="J14" s="645"/>
      <c r="K14" s="645"/>
      <c r="L14" s="645"/>
      <c r="M14" s="645"/>
      <c r="N14" s="645"/>
      <c r="O14" s="645"/>
    </row>
    <row r="15" spans="2:15" ht="13.5" thickBot="1">
      <c r="B15" s="663" t="s">
        <v>289</v>
      </c>
      <c r="C15" s="664" t="s">
        <v>290</v>
      </c>
      <c r="D15" s="665" t="s">
        <v>361</v>
      </c>
      <c r="E15" s="661"/>
      <c r="F15" s="160"/>
      <c r="G15" s="683">
        <f>B16</f>
        <v>0</v>
      </c>
      <c r="H15" s="684">
        <f>C16</f>
        <v>-900</v>
      </c>
      <c r="I15" s="685">
        <f t="shared" ref="I15:I26" si="0">IF(G15&lt;I$13,(1+$D$14)^(I$13-G15),(1+$D$14)^(G$26+I$13-G15))</f>
        <v>5.4004952676233424</v>
      </c>
      <c r="J15" s="645"/>
      <c r="K15" s="645"/>
      <c r="L15" s="645"/>
      <c r="M15" s="645"/>
      <c r="N15" s="645"/>
      <c r="O15" s="645"/>
    </row>
    <row r="16" spans="2:15">
      <c r="B16" s="666">
        <v>0</v>
      </c>
      <c r="C16" s="667">
        <v>-900</v>
      </c>
      <c r="D16" s="668">
        <f t="shared" ref="D16:D27" si="1">1/(1+$D$14)^B16</f>
        <v>1</v>
      </c>
      <c r="E16" s="661"/>
      <c r="F16" s="160"/>
      <c r="G16" s="647">
        <f t="shared" ref="G16:G26" si="2">B17</f>
        <v>0</v>
      </c>
      <c r="H16" s="648">
        <f t="shared" ref="H16:H26" si="3">C17</f>
        <v>-1900</v>
      </c>
      <c r="I16" s="649">
        <f t="shared" si="0"/>
        <v>5.4004952676233424</v>
      </c>
      <c r="J16" s="645"/>
      <c r="K16" s="645"/>
      <c r="L16" s="645"/>
      <c r="M16" s="645"/>
      <c r="N16" s="645"/>
      <c r="O16" s="645"/>
    </row>
    <row r="17" spans="2:15">
      <c r="B17" s="666">
        <v>0</v>
      </c>
      <c r="C17" s="667">
        <v>-1900</v>
      </c>
      <c r="D17" s="668">
        <f t="shared" si="1"/>
        <v>1</v>
      </c>
      <c r="E17" s="661"/>
      <c r="F17" s="160"/>
      <c r="G17" s="647">
        <f t="shared" si="2"/>
        <v>1</v>
      </c>
      <c r="H17" s="648">
        <f t="shared" si="3"/>
        <v>-450</v>
      </c>
      <c r="I17" s="649">
        <f t="shared" si="0"/>
        <v>5.1927839111762903</v>
      </c>
      <c r="J17" s="645"/>
      <c r="K17" s="645"/>
      <c r="L17" s="645"/>
      <c r="M17" s="645"/>
      <c r="N17" s="645"/>
      <c r="O17" s="645"/>
    </row>
    <row r="18" spans="2:15">
      <c r="B18" s="666">
        <v>1</v>
      </c>
      <c r="C18" s="667">
        <v>-450</v>
      </c>
      <c r="D18" s="668">
        <f t="shared" si="1"/>
        <v>0.96153846153846145</v>
      </c>
      <c r="E18" s="661"/>
      <c r="F18" s="160"/>
      <c r="G18" s="647">
        <f t="shared" si="2"/>
        <v>2</v>
      </c>
      <c r="H18" s="648">
        <f t="shared" si="3"/>
        <v>-450</v>
      </c>
      <c r="I18" s="649">
        <f t="shared" si="0"/>
        <v>4.9930614530541257</v>
      </c>
      <c r="J18" s="645"/>
      <c r="K18" s="645"/>
      <c r="L18" s="645"/>
      <c r="M18" s="645"/>
      <c r="N18" s="645"/>
      <c r="O18" s="645"/>
    </row>
    <row r="19" spans="2:15">
      <c r="B19" s="666">
        <v>2</v>
      </c>
      <c r="C19" s="667">
        <v>-450</v>
      </c>
      <c r="D19" s="668">
        <f t="shared" si="1"/>
        <v>0.92455621301775137</v>
      </c>
      <c r="E19" s="661"/>
      <c r="F19" s="160"/>
      <c r="G19" s="647">
        <f t="shared" si="2"/>
        <v>17</v>
      </c>
      <c r="H19" s="648">
        <f t="shared" si="3"/>
        <v>-1900</v>
      </c>
      <c r="I19" s="649">
        <f t="shared" si="0"/>
        <v>2.77246978474692</v>
      </c>
      <c r="J19" s="645"/>
      <c r="K19" s="645"/>
      <c r="L19" s="645"/>
      <c r="M19" s="645"/>
      <c r="N19" s="645"/>
      <c r="O19" s="645"/>
    </row>
    <row r="20" spans="2:15">
      <c r="B20" s="666">
        <v>17</v>
      </c>
      <c r="C20" s="667">
        <v>-1900</v>
      </c>
      <c r="D20" s="668">
        <f t="shared" si="1"/>
        <v>0.51337324585177024</v>
      </c>
      <c r="E20" s="661"/>
      <c r="F20" s="160"/>
      <c r="G20" s="647">
        <f t="shared" si="2"/>
        <v>17</v>
      </c>
      <c r="H20" s="648">
        <f t="shared" si="3"/>
        <v>879.62237170528579</v>
      </c>
      <c r="I20" s="649">
        <f t="shared" si="0"/>
        <v>2.77246978474692</v>
      </c>
      <c r="J20" s="645"/>
      <c r="K20" s="645"/>
      <c r="L20" s="645"/>
      <c r="M20" s="645"/>
      <c r="N20" s="645"/>
      <c r="O20" s="645"/>
    </row>
    <row r="21" spans="2:15">
      <c r="B21" s="666">
        <v>17</v>
      </c>
      <c r="C21" s="667">
        <v>879.62237170528579</v>
      </c>
      <c r="D21" s="668">
        <f t="shared" si="1"/>
        <v>0.51337324585177024</v>
      </c>
      <c r="E21" s="661"/>
      <c r="F21" s="160"/>
      <c r="G21" s="647">
        <f t="shared" si="2"/>
        <v>23</v>
      </c>
      <c r="H21" s="648">
        <f t="shared" si="3"/>
        <v>1536.7200430275916</v>
      </c>
      <c r="I21" s="649">
        <f t="shared" si="0"/>
        <v>2.1911231430334213</v>
      </c>
      <c r="J21" s="645"/>
      <c r="K21" s="645"/>
      <c r="L21" s="645"/>
      <c r="M21" s="645"/>
      <c r="N21" s="645"/>
      <c r="O21" s="645"/>
    </row>
    <row r="22" spans="2:15">
      <c r="B22" s="666">
        <v>23</v>
      </c>
      <c r="C22" s="667">
        <v>1536.7200430275916</v>
      </c>
      <c r="D22" s="668">
        <f t="shared" si="1"/>
        <v>0.40572633331788732</v>
      </c>
      <c r="E22" s="661"/>
      <c r="F22" s="160"/>
      <c r="G22" s="647">
        <f t="shared" si="2"/>
        <v>29</v>
      </c>
      <c r="H22" s="648">
        <f t="shared" si="3"/>
        <v>2560.9916842903508</v>
      </c>
      <c r="I22" s="649">
        <f t="shared" si="0"/>
        <v>1.7316764476028046</v>
      </c>
      <c r="J22" s="645"/>
      <c r="K22" s="645"/>
      <c r="L22" s="645"/>
      <c r="M22" s="645"/>
      <c r="N22" s="645"/>
      <c r="O22" s="645"/>
    </row>
    <row r="23" spans="2:15">
      <c r="B23" s="666">
        <v>29</v>
      </c>
      <c r="C23" s="667">
        <v>2560.9916842903508</v>
      </c>
      <c r="D23" s="668">
        <f t="shared" si="1"/>
        <v>0.32065141469235708</v>
      </c>
      <c r="E23" s="661"/>
      <c r="F23" s="160"/>
      <c r="G23" s="647">
        <f t="shared" si="2"/>
        <v>35</v>
      </c>
      <c r="H23" s="648">
        <f t="shared" si="3"/>
        <v>4005.8715643940177</v>
      </c>
      <c r="I23" s="649">
        <f t="shared" si="0"/>
        <v>1.3685690504052741</v>
      </c>
      <c r="J23" s="645"/>
      <c r="K23" s="645"/>
      <c r="L23" s="645"/>
      <c r="M23" s="645"/>
      <c r="N23" s="645"/>
      <c r="O23" s="645"/>
    </row>
    <row r="24" spans="2:15">
      <c r="B24" s="666">
        <v>35</v>
      </c>
      <c r="C24" s="667">
        <v>4005.8715643940177</v>
      </c>
      <c r="D24" s="668">
        <f t="shared" si="1"/>
        <v>0.25341547072729048</v>
      </c>
      <c r="E24" s="661"/>
      <c r="G24" s="647">
        <f t="shared" si="2"/>
        <v>41</v>
      </c>
      <c r="H24" s="648">
        <f t="shared" si="3"/>
        <v>5174.3085733400058</v>
      </c>
      <c r="I24" s="649">
        <f t="shared" si="0"/>
        <v>1.0816000000000001</v>
      </c>
      <c r="J24" s="645"/>
      <c r="K24" s="645"/>
      <c r="L24" s="645"/>
      <c r="M24" s="645"/>
      <c r="N24" s="645"/>
      <c r="O24" s="645"/>
    </row>
    <row r="25" spans="2:15">
      <c r="B25" s="666">
        <v>41</v>
      </c>
      <c r="C25" s="667">
        <v>5174.3085733400058</v>
      </c>
      <c r="D25" s="668">
        <f t="shared" si="1"/>
        <v>0.20027792756052021</v>
      </c>
      <c r="E25" s="661"/>
      <c r="G25" s="647">
        <f t="shared" si="2"/>
        <v>47</v>
      </c>
      <c r="H25" s="648">
        <f t="shared" si="3"/>
        <v>5540.2928775541404</v>
      </c>
      <c r="I25" s="649">
        <f t="shared" si="0"/>
        <v>6.8333493714214626</v>
      </c>
      <c r="J25" s="645"/>
      <c r="K25" s="645"/>
      <c r="L25" s="645"/>
      <c r="M25" s="645"/>
      <c r="N25" s="645"/>
      <c r="O25" s="645"/>
    </row>
    <row r="26" spans="2:15" ht="13.5" thickBot="1">
      <c r="B26" s="666">
        <v>47</v>
      </c>
      <c r="C26" s="667">
        <v>5540.2928775541404</v>
      </c>
      <c r="D26" s="668">
        <f t="shared" si="1"/>
        <v>0.15828255533420904</v>
      </c>
      <c r="E26" s="661"/>
      <c r="G26" s="650">
        <f t="shared" si="2"/>
        <v>53</v>
      </c>
      <c r="H26" s="651">
        <f t="shared" si="3"/>
        <v>39348.673058287015</v>
      </c>
      <c r="I26" s="652">
        <f t="shared" si="0"/>
        <v>5.4004952676233424</v>
      </c>
      <c r="J26" s="645"/>
      <c r="K26" s="645"/>
      <c r="L26" s="645"/>
      <c r="M26" s="645"/>
      <c r="N26" s="645"/>
      <c r="O26" s="645"/>
    </row>
    <row r="27" spans="2:15" ht="13.5" thickBot="1">
      <c r="B27" s="669">
        <v>53</v>
      </c>
      <c r="C27" s="670">
        <v>39348.673058287015</v>
      </c>
      <c r="D27" s="671">
        <f t="shared" si="1"/>
        <v>0.12509300265031092</v>
      </c>
      <c r="E27" s="661"/>
      <c r="G27" s="645"/>
      <c r="H27" s="645"/>
      <c r="I27" s="645"/>
      <c r="J27" s="645"/>
      <c r="K27" s="645"/>
      <c r="L27" s="645"/>
      <c r="M27" s="645"/>
      <c r="N27" s="645"/>
      <c r="O27" s="645"/>
    </row>
    <row r="28" spans="2:15">
      <c r="B28" s="661"/>
      <c r="C28" s="661"/>
      <c r="D28" s="661"/>
      <c r="E28" s="661"/>
      <c r="G28" s="645"/>
      <c r="H28" s="646" t="s">
        <v>520</v>
      </c>
      <c r="I28" s="686">
        <f>SUMPRODUCT(H15:H26,I15:I26)/((1+D14)^G26-1)</f>
        <v>35273.95606950151</v>
      </c>
      <c r="J28" s="653" t="s">
        <v>522</v>
      </c>
      <c r="K28" s="645"/>
      <c r="L28" s="645"/>
      <c r="M28" s="645"/>
      <c r="N28" s="645"/>
      <c r="O28" s="645"/>
    </row>
    <row r="29" spans="2:15">
      <c r="B29" s="661"/>
      <c r="C29" s="662" t="s">
        <v>276</v>
      </c>
      <c r="D29" s="672">
        <f>SUMPRODUCT(D16:D27,C16:C27)</f>
        <v>5122.7212193111191</v>
      </c>
      <c r="E29" s="673" t="s">
        <v>522</v>
      </c>
      <c r="G29" s="645"/>
      <c r="H29" s="646" t="s">
        <v>523</v>
      </c>
      <c r="I29" s="687">
        <f>I28-D30</f>
        <v>29418.795195455335</v>
      </c>
      <c r="J29" s="653" t="s">
        <v>522</v>
      </c>
      <c r="K29" s="645"/>
      <c r="L29" s="645"/>
      <c r="M29" s="645"/>
      <c r="N29" s="645"/>
      <c r="O29" s="645"/>
    </row>
    <row r="30" spans="2:15">
      <c r="B30" s="661"/>
      <c r="C30" s="662" t="s">
        <v>278</v>
      </c>
      <c r="D30" s="672">
        <f>D29*(1+D14)^B27/((1+D14)^B27-1)</f>
        <v>5855.1608740461734</v>
      </c>
      <c r="E30" s="673" t="s">
        <v>522</v>
      </c>
      <c r="G30" s="645"/>
      <c r="H30" s="646" t="s">
        <v>523</v>
      </c>
      <c r="I30" s="686">
        <f>I29*2.65</f>
        <v>77959.807267956639</v>
      </c>
      <c r="J30" s="653" t="s">
        <v>522</v>
      </c>
      <c r="K30" s="645"/>
      <c r="L30" s="645"/>
      <c r="M30" s="645"/>
      <c r="N30" s="645"/>
      <c r="O30" s="645"/>
    </row>
    <row r="31" spans="2:15">
      <c r="B31" s="661"/>
      <c r="C31" s="661"/>
      <c r="D31" s="661"/>
      <c r="E31" s="661"/>
      <c r="G31" s="645"/>
      <c r="H31" s="646" t="s">
        <v>335</v>
      </c>
      <c r="I31" s="687">
        <f>I30-30000</f>
        <v>47959.807267956639</v>
      </c>
      <c r="J31" s="653" t="s">
        <v>492</v>
      </c>
      <c r="K31" s="645"/>
      <c r="L31" s="645"/>
      <c r="M31" s="645"/>
      <c r="N31" s="645"/>
      <c r="O31" s="645"/>
    </row>
    <row r="32" spans="2:15">
      <c r="G32" s="645"/>
      <c r="H32" s="645"/>
      <c r="I32" s="645"/>
      <c r="J32" s="653"/>
      <c r="K32" s="645"/>
      <c r="L32" s="645"/>
      <c r="M32" s="645"/>
      <c r="N32" s="645"/>
      <c r="O32" s="645"/>
    </row>
    <row r="34" spans="6:15">
      <c r="G34" s="698" t="s">
        <v>531</v>
      </c>
      <c r="H34" s="654"/>
      <c r="I34" s="654"/>
      <c r="J34" s="654"/>
      <c r="K34" s="654"/>
      <c r="L34" s="654"/>
      <c r="M34" s="654"/>
      <c r="N34" s="654"/>
      <c r="O34" s="654"/>
    </row>
    <row r="35" spans="6:15" ht="13.5" thickBot="1">
      <c r="G35" s="688"/>
      <c r="H35" s="688"/>
      <c r="I35" s="688"/>
      <c r="J35" s="654"/>
      <c r="K35" s="654"/>
      <c r="L35" s="654"/>
      <c r="M35" s="654"/>
      <c r="N35" s="654"/>
      <c r="O35" s="654"/>
    </row>
    <row r="36" spans="6:15" ht="13.5" thickBot="1">
      <c r="G36" s="689" t="s">
        <v>1</v>
      </c>
      <c r="H36" s="690" t="s">
        <v>285</v>
      </c>
      <c r="I36" s="655" t="s">
        <v>527</v>
      </c>
      <c r="J36" s="654"/>
      <c r="K36" s="654"/>
      <c r="L36" s="654"/>
      <c r="M36" s="654"/>
      <c r="N36" s="654"/>
      <c r="O36" s="654"/>
    </row>
    <row r="37" spans="6:15">
      <c r="G37" s="677">
        <v>47</v>
      </c>
      <c r="H37" s="678">
        <v>5540.2928775541404</v>
      </c>
      <c r="I37" s="691">
        <f>H37/(1+$D$14)^(G37-I$13)</f>
        <v>4735.8655712654181</v>
      </c>
      <c r="J37" s="654"/>
      <c r="K37" s="654"/>
      <c r="L37" s="654"/>
      <c r="M37" s="654"/>
      <c r="N37" s="654"/>
      <c r="O37" s="654"/>
    </row>
    <row r="38" spans="6:15">
      <c r="G38" s="656">
        <v>53</v>
      </c>
      <c r="H38" s="657">
        <v>39348.673058287015</v>
      </c>
      <c r="I38" s="692">
        <f>H38/(1+$D$14)^(G38-I$13)</f>
        <v>26582.55360901976</v>
      </c>
      <c r="J38" s="654"/>
      <c r="K38" s="654"/>
      <c r="L38" s="654"/>
      <c r="M38" s="654"/>
      <c r="N38" s="654"/>
      <c r="O38" s="654"/>
    </row>
    <row r="39" spans="6:15" ht="13.5" thickBot="1">
      <c r="G39" s="658">
        <v>53</v>
      </c>
      <c r="H39" s="693">
        <f>D30</f>
        <v>5855.1608740461734</v>
      </c>
      <c r="I39" s="694">
        <f>H39/(1+$D$14)^(G39-I$13)</f>
        <v>3955.5368892163392</v>
      </c>
      <c r="J39" s="695" t="s">
        <v>526</v>
      </c>
      <c r="K39" s="654"/>
      <c r="L39" s="654"/>
      <c r="M39" s="654"/>
      <c r="N39" s="654"/>
      <c r="O39" s="654"/>
    </row>
    <row r="40" spans="6:15">
      <c r="G40" s="654"/>
      <c r="H40" s="654"/>
      <c r="I40" s="696"/>
      <c r="J40" s="654"/>
      <c r="K40" s="654"/>
      <c r="L40" s="654"/>
      <c r="M40" s="654"/>
      <c r="N40" s="654"/>
      <c r="O40" s="654"/>
    </row>
    <row r="41" spans="6:15">
      <c r="G41" s="654"/>
      <c r="H41" s="659" t="s">
        <v>528</v>
      </c>
      <c r="I41" s="679">
        <f>SUM(I37:I39)</f>
        <v>35273.956069501517</v>
      </c>
      <c r="J41" s="654"/>
      <c r="K41" s="654"/>
      <c r="L41" s="654"/>
      <c r="M41" s="654"/>
      <c r="N41" s="654"/>
      <c r="O41" s="654"/>
    </row>
    <row r="42" spans="6:15">
      <c r="G42" s="654"/>
      <c r="H42" s="659" t="s">
        <v>524</v>
      </c>
      <c r="I42" s="679">
        <f>I41-D30</f>
        <v>29418.795195455343</v>
      </c>
      <c r="J42" s="659" t="s">
        <v>522</v>
      </c>
      <c r="K42" s="654"/>
      <c r="L42" s="654"/>
      <c r="M42" s="654"/>
      <c r="N42" s="654"/>
      <c r="O42" s="654"/>
    </row>
    <row r="43" spans="6:15">
      <c r="G43" s="654"/>
      <c r="H43" s="659" t="s">
        <v>524</v>
      </c>
      <c r="I43" s="679">
        <f>I42*2.65</f>
        <v>77959.807267956654</v>
      </c>
      <c r="J43" s="659" t="s">
        <v>522</v>
      </c>
      <c r="K43" s="654"/>
      <c r="L43" s="654"/>
      <c r="M43" s="654"/>
      <c r="N43" s="654"/>
      <c r="O43" s="654"/>
    </row>
    <row r="44" spans="6:15">
      <c r="G44" s="654"/>
      <c r="H44" s="659" t="s">
        <v>525</v>
      </c>
      <c r="I44" s="679">
        <f>I43-30000</f>
        <v>47959.807267956654</v>
      </c>
      <c r="J44" s="659" t="s">
        <v>492</v>
      </c>
      <c r="K44" s="654"/>
      <c r="L44" s="654"/>
      <c r="M44" s="654"/>
      <c r="N44" s="654"/>
      <c r="O44" s="654"/>
    </row>
    <row r="45" spans="6:15">
      <c r="G45" s="654"/>
      <c r="H45" s="654"/>
      <c r="I45" s="654"/>
      <c r="J45" s="659"/>
      <c r="K45" s="654"/>
      <c r="L45" s="654"/>
      <c r="M45" s="654"/>
      <c r="N45" s="654"/>
      <c r="O45" s="654"/>
    </row>
    <row r="48" spans="6:15">
      <c r="F48" s="644"/>
    </row>
  </sheetData>
  <pageMargins left="0.7" right="0.7" top="0.75" bottom="0.75" header="0.3" footer="0.3"/>
  <pageSetup paperSize="9" scale="68" orientation="landscape" r:id="rId1"/>
  <drawing r:id="rId2"/>
  <legacyDrawing r:id="rId3"/>
  <oleObjects>
    <mc:AlternateContent xmlns:mc="http://schemas.openxmlformats.org/markup-compatibility/2006">
      <mc:Choice Requires="x14">
        <oleObject progId="Equation.3" shapeId="13314" r:id="rId4">
          <objectPr defaultSize="0" autoPict="0" r:id="rId5">
            <anchor moveWithCells="1" sizeWithCells="1">
              <from>
                <xdr:col>9</xdr:col>
                <xdr:colOff>685800</xdr:colOff>
                <xdr:row>26</xdr:row>
                <xdr:rowOff>0</xdr:rowOff>
              </from>
              <to>
                <xdr:col>14</xdr:col>
                <xdr:colOff>209550</xdr:colOff>
                <xdr:row>30</xdr:row>
                <xdr:rowOff>9525</xdr:rowOff>
              </to>
            </anchor>
          </objectPr>
        </oleObject>
      </mc:Choice>
      <mc:Fallback>
        <oleObject progId="Equation.3" shapeId="13314" r:id="rId4"/>
      </mc:Fallback>
    </mc:AlternateContent>
    <mc:AlternateContent xmlns:mc="http://schemas.openxmlformats.org/markup-compatibility/2006">
      <mc:Choice Requires="x14">
        <oleObject progId="Equation.3" shapeId="13315" r:id="rId6">
          <objectPr defaultSize="0" autoPict="0" r:id="rId7">
            <anchor moveWithCells="1" sizeWithCells="1">
              <from>
                <xdr:col>9</xdr:col>
                <xdr:colOff>733425</xdr:colOff>
                <xdr:row>37</xdr:row>
                <xdr:rowOff>0</xdr:rowOff>
              </from>
              <to>
                <xdr:col>13</xdr:col>
                <xdr:colOff>352425</xdr:colOff>
                <xdr:row>39</xdr:row>
                <xdr:rowOff>95250</xdr:rowOff>
              </to>
            </anchor>
          </objectPr>
        </oleObject>
      </mc:Choice>
      <mc:Fallback>
        <oleObject progId="Equation.3" shapeId="13315" r:id="rId6"/>
      </mc:Fallback>
    </mc:AlternateContent>
  </oleObjec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2:Y63"/>
  <sheetViews>
    <sheetView topLeftCell="A7" zoomScale="85" zoomScaleNormal="85" workbookViewId="0">
      <selection activeCell="Q43" sqref="Q43"/>
    </sheetView>
  </sheetViews>
  <sheetFormatPr baseColWidth="10" defaultRowHeight="12.75"/>
  <cols>
    <col min="1" max="1" width="12.85546875" customWidth="1"/>
    <col min="2" max="2" width="24" customWidth="1"/>
    <col min="14" max="14" width="11.5703125" customWidth="1"/>
  </cols>
  <sheetData>
    <row r="2" spans="2:12">
      <c r="B2" s="2" t="s">
        <v>396</v>
      </c>
    </row>
    <row r="4" spans="2:12">
      <c r="B4" s="809" t="s">
        <v>541</v>
      </c>
      <c r="C4" s="810"/>
      <c r="D4" s="810"/>
      <c r="E4" s="810"/>
      <c r="F4" s="810"/>
      <c r="G4" s="810"/>
      <c r="H4" s="810"/>
      <c r="I4" s="810"/>
      <c r="J4" s="810"/>
      <c r="K4" s="810"/>
      <c r="L4" s="810"/>
    </row>
    <row r="5" spans="2:12">
      <c r="B5" s="810"/>
      <c r="C5" s="810"/>
      <c r="D5" s="810"/>
      <c r="E5" s="810"/>
      <c r="F5" s="810"/>
      <c r="G5" s="810"/>
      <c r="H5" s="810"/>
      <c r="I5" s="810"/>
      <c r="J5" s="810"/>
      <c r="K5" s="810"/>
      <c r="L5" s="810"/>
    </row>
    <row r="6" spans="2:12">
      <c r="B6" s="810"/>
      <c r="C6" s="810"/>
      <c r="D6" s="810"/>
      <c r="E6" s="810"/>
      <c r="F6" s="810"/>
      <c r="G6" s="810"/>
      <c r="H6" s="810"/>
      <c r="I6" s="810"/>
      <c r="J6" s="810"/>
      <c r="K6" s="810"/>
      <c r="L6" s="810"/>
    </row>
    <row r="7" spans="2:12">
      <c r="B7" s="810"/>
      <c r="C7" s="810"/>
      <c r="D7" s="810"/>
      <c r="E7" s="810"/>
      <c r="F7" s="810"/>
      <c r="G7" s="810"/>
      <c r="H7" s="810"/>
      <c r="I7" s="810"/>
      <c r="J7" s="810"/>
      <c r="K7" s="810"/>
      <c r="L7" s="810"/>
    </row>
    <row r="8" spans="2:12">
      <c r="B8" s="810"/>
      <c r="C8" s="810"/>
      <c r="D8" s="810"/>
      <c r="E8" s="810"/>
      <c r="F8" s="810"/>
      <c r="G8" s="810"/>
      <c r="H8" s="810"/>
      <c r="I8" s="810"/>
      <c r="J8" s="810"/>
      <c r="K8" s="810"/>
      <c r="L8" s="810"/>
    </row>
    <row r="9" spans="2:12">
      <c r="B9" s="810"/>
      <c r="C9" s="810"/>
      <c r="D9" s="810"/>
      <c r="E9" s="810"/>
      <c r="F9" s="810"/>
      <c r="G9" s="810"/>
      <c r="H9" s="810"/>
      <c r="I9" s="810"/>
      <c r="J9" s="810"/>
      <c r="K9" s="810"/>
      <c r="L9" s="810"/>
    </row>
    <row r="10" spans="2:12">
      <c r="B10" s="810"/>
      <c r="C10" s="810"/>
      <c r="D10" s="810"/>
      <c r="E10" s="810"/>
      <c r="F10" s="810"/>
      <c r="G10" s="810"/>
      <c r="H10" s="810"/>
      <c r="I10" s="810"/>
      <c r="J10" s="810"/>
      <c r="K10" s="810"/>
      <c r="L10" s="810"/>
    </row>
    <row r="11" spans="2:12">
      <c r="B11" t="s">
        <v>397</v>
      </c>
    </row>
    <row r="13" spans="2:12">
      <c r="B13" s="220" t="s">
        <v>398</v>
      </c>
      <c r="C13" s="220"/>
      <c r="D13" s="220"/>
      <c r="E13" s="220"/>
      <c r="F13" s="220"/>
      <c r="G13" s="220"/>
      <c r="H13" s="220"/>
    </row>
    <row r="14" spans="2:12">
      <c r="C14" s="18" t="s">
        <v>399</v>
      </c>
      <c r="D14" s="18" t="s">
        <v>400</v>
      </c>
      <c r="E14" s="18" t="s">
        <v>401</v>
      </c>
      <c r="F14" s="18" t="s">
        <v>402</v>
      </c>
    </row>
    <row r="15" spans="2:12">
      <c r="B15" s="18" t="s">
        <v>403</v>
      </c>
      <c r="C15" s="18" t="s">
        <v>404</v>
      </c>
      <c r="D15" s="18" t="s">
        <v>404</v>
      </c>
      <c r="E15" s="18" t="s">
        <v>404</v>
      </c>
      <c r="F15" s="18" t="s">
        <v>405</v>
      </c>
    </row>
    <row r="16" spans="2:12">
      <c r="B16" s="18" t="s">
        <v>406</v>
      </c>
      <c r="C16" s="18" t="s">
        <v>407</v>
      </c>
      <c r="D16" s="18" t="s">
        <v>407</v>
      </c>
      <c r="E16" s="18" t="s">
        <v>407</v>
      </c>
      <c r="F16" s="18" t="s">
        <v>408</v>
      </c>
    </row>
    <row r="17" spans="2:20">
      <c r="B17" s="18" t="s">
        <v>409</v>
      </c>
      <c r="C17" s="18" t="s">
        <v>410</v>
      </c>
      <c r="D17" s="18" t="s">
        <v>410</v>
      </c>
      <c r="E17" s="18" t="s">
        <v>411</v>
      </c>
    </row>
    <row r="18" spans="2:20">
      <c r="B18" s="18" t="s">
        <v>412</v>
      </c>
      <c r="C18" s="18" t="s">
        <v>413</v>
      </c>
      <c r="D18" s="18" t="s">
        <v>413</v>
      </c>
      <c r="E18" s="18" t="s">
        <v>180</v>
      </c>
    </row>
    <row r="19" spans="2:20">
      <c r="B19" s="18" t="s">
        <v>414</v>
      </c>
      <c r="C19">
        <v>9</v>
      </c>
      <c r="D19">
        <v>7</v>
      </c>
      <c r="E19">
        <v>6</v>
      </c>
    </row>
    <row r="20" spans="2:20">
      <c r="B20" s="18" t="s">
        <v>415</v>
      </c>
      <c r="C20">
        <v>5000</v>
      </c>
      <c r="D20">
        <v>3000</v>
      </c>
      <c r="E20">
        <v>1300</v>
      </c>
    </row>
    <row r="21" spans="2:20">
      <c r="B21" s="18" t="s">
        <v>416</v>
      </c>
      <c r="C21">
        <v>95</v>
      </c>
      <c r="D21">
        <v>80</v>
      </c>
      <c r="E21">
        <v>55</v>
      </c>
    </row>
    <row r="22" spans="2:20">
      <c r="C22" s="18" t="s">
        <v>423</v>
      </c>
      <c r="D22" s="18" t="s">
        <v>424</v>
      </c>
      <c r="E22" s="18" t="s">
        <v>425</v>
      </c>
    </row>
    <row r="23" spans="2:20" ht="13.5" thickBot="1"/>
    <row r="24" spans="2:20">
      <c r="B24" s="620" t="s">
        <v>417</v>
      </c>
      <c r="C24" s="621" t="s">
        <v>289</v>
      </c>
      <c r="D24" s="621" t="s">
        <v>418</v>
      </c>
      <c r="E24" s="622" t="s">
        <v>419</v>
      </c>
      <c r="G24" s="674" t="s">
        <v>417</v>
      </c>
      <c r="H24" s="675" t="s">
        <v>289</v>
      </c>
      <c r="I24" s="675" t="s">
        <v>418</v>
      </c>
      <c r="J24" s="676" t="s">
        <v>419</v>
      </c>
      <c r="L24" s="704" t="s">
        <v>417</v>
      </c>
      <c r="M24" s="705" t="s">
        <v>289</v>
      </c>
      <c r="N24" s="705" t="s">
        <v>418</v>
      </c>
      <c r="O24" s="706" t="s">
        <v>419</v>
      </c>
      <c r="Q24" s="18"/>
      <c r="R24" s="18"/>
      <c r="S24" s="18"/>
      <c r="T24" s="18"/>
    </row>
    <row r="25" spans="2:20">
      <c r="B25" s="623" t="s">
        <v>385</v>
      </c>
      <c r="C25" s="406">
        <v>0</v>
      </c>
      <c r="D25" s="406">
        <v>0</v>
      </c>
      <c r="E25" s="761">
        <v>0</v>
      </c>
      <c r="G25" s="700" t="s">
        <v>390</v>
      </c>
      <c r="H25" s="758">
        <v>0</v>
      </c>
      <c r="I25" s="758">
        <v>0</v>
      </c>
      <c r="J25" s="759">
        <v>0</v>
      </c>
      <c r="L25" s="707" t="s">
        <v>420</v>
      </c>
      <c r="M25" s="747">
        <v>0</v>
      </c>
      <c r="N25" s="747">
        <v>0</v>
      </c>
      <c r="O25" s="748">
        <v>0</v>
      </c>
    </row>
    <row r="26" spans="2:20">
      <c r="B26" s="618"/>
      <c r="C26" s="378">
        <v>1</v>
      </c>
      <c r="D26" s="378">
        <v>-595</v>
      </c>
      <c r="E26" s="619">
        <v>0</v>
      </c>
      <c r="G26" s="656"/>
      <c r="H26" s="701">
        <v>1</v>
      </c>
      <c r="I26" s="701">
        <v>-61</v>
      </c>
      <c r="J26" s="702">
        <v>0</v>
      </c>
      <c r="L26" s="660"/>
      <c r="M26" s="708">
        <v>1</v>
      </c>
      <c r="N26" s="708">
        <v>-4310</v>
      </c>
      <c r="O26" s="709">
        <v>0</v>
      </c>
    </row>
    <row r="27" spans="2:20">
      <c r="B27" s="618"/>
      <c r="C27" s="378">
        <v>15</v>
      </c>
      <c r="D27" s="378">
        <v>-665</v>
      </c>
      <c r="E27" s="619">
        <v>1444</v>
      </c>
      <c r="G27" s="656"/>
      <c r="H27" s="701">
        <v>15</v>
      </c>
      <c r="I27" s="701">
        <v>-705</v>
      </c>
      <c r="J27" s="702">
        <v>1547</v>
      </c>
      <c r="L27" s="660"/>
      <c r="M27" s="708">
        <v>25</v>
      </c>
      <c r="N27" s="708">
        <v>885</v>
      </c>
      <c r="O27" s="709">
        <v>3121</v>
      </c>
    </row>
    <row r="28" spans="2:20">
      <c r="B28" s="618"/>
      <c r="C28" s="378">
        <v>30</v>
      </c>
      <c r="D28" s="378">
        <v>786</v>
      </c>
      <c r="E28" s="619">
        <v>898</v>
      </c>
      <c r="G28" s="656"/>
      <c r="H28" s="701">
        <v>22</v>
      </c>
      <c r="I28" s="701">
        <v>467</v>
      </c>
      <c r="J28" s="702">
        <v>-154</v>
      </c>
      <c r="L28" s="660"/>
      <c r="M28" s="708">
        <v>30</v>
      </c>
      <c r="N28" s="708">
        <v>979</v>
      </c>
      <c r="O28" s="709">
        <v>-745</v>
      </c>
    </row>
    <row r="29" spans="2:20">
      <c r="B29" s="618"/>
      <c r="C29" s="378">
        <v>35</v>
      </c>
      <c r="D29" s="378">
        <v>506</v>
      </c>
      <c r="E29" s="619">
        <v>-818</v>
      </c>
      <c r="G29" s="656"/>
      <c r="H29" s="701">
        <v>31</v>
      </c>
      <c r="I29" s="701">
        <v>539</v>
      </c>
      <c r="J29" s="702">
        <v>391</v>
      </c>
      <c r="L29" s="660"/>
      <c r="M29" s="708">
        <v>35</v>
      </c>
      <c r="N29" s="708">
        <v>1552</v>
      </c>
      <c r="O29" s="709">
        <v>-230</v>
      </c>
    </row>
    <row r="30" spans="2:20">
      <c r="B30" s="618"/>
      <c r="C30" s="378">
        <v>41</v>
      </c>
      <c r="D30" s="378">
        <v>432</v>
      </c>
      <c r="E30" s="619">
        <v>-136</v>
      </c>
      <c r="G30" s="656"/>
      <c r="H30" s="701">
        <v>36</v>
      </c>
      <c r="I30" s="701">
        <v>1047</v>
      </c>
      <c r="J30" s="702">
        <v>35</v>
      </c>
      <c r="L30" s="660"/>
      <c r="M30" s="708">
        <v>40</v>
      </c>
      <c r="N30" s="708">
        <v>1225</v>
      </c>
      <c r="O30" s="709">
        <v>-90</v>
      </c>
    </row>
    <row r="31" spans="2:20">
      <c r="B31" s="618"/>
      <c r="C31" s="378">
        <v>49</v>
      </c>
      <c r="D31" s="378">
        <v>594</v>
      </c>
      <c r="E31" s="619">
        <v>515</v>
      </c>
      <c r="G31" s="656"/>
      <c r="H31" s="701">
        <v>44</v>
      </c>
      <c r="I31" s="701">
        <v>1173</v>
      </c>
      <c r="J31" s="702">
        <v>178</v>
      </c>
      <c r="L31" s="660"/>
      <c r="M31" s="708">
        <v>45</v>
      </c>
      <c r="N31" s="708">
        <v>1212</v>
      </c>
      <c r="O31" s="709">
        <v>186</v>
      </c>
    </row>
    <row r="32" spans="2:20">
      <c r="B32" s="618"/>
      <c r="C32" s="378">
        <v>57</v>
      </c>
      <c r="D32" s="378">
        <v>948</v>
      </c>
      <c r="E32" s="619">
        <v>376</v>
      </c>
      <c r="G32" s="656"/>
      <c r="H32" s="701">
        <v>52</v>
      </c>
      <c r="I32" s="701">
        <v>2366</v>
      </c>
      <c r="J32" s="702">
        <v>316</v>
      </c>
      <c r="L32" s="660"/>
      <c r="M32" s="708">
        <v>50</v>
      </c>
      <c r="N32" s="708">
        <v>1092</v>
      </c>
      <c r="O32" s="709">
        <v>263</v>
      </c>
    </row>
    <row r="33" spans="2:24">
      <c r="B33" s="618"/>
      <c r="C33" s="378">
        <v>65</v>
      </c>
      <c r="D33" s="378">
        <v>1330</v>
      </c>
      <c r="E33" s="619">
        <v>287</v>
      </c>
      <c r="G33" s="656"/>
      <c r="H33" s="701">
        <v>60</v>
      </c>
      <c r="I33" s="701">
        <v>878</v>
      </c>
      <c r="J33" s="702">
        <v>-25</v>
      </c>
      <c r="L33" s="660"/>
      <c r="M33" s="745">
        <v>55</v>
      </c>
      <c r="N33" s="745">
        <v>11581</v>
      </c>
      <c r="O33" s="749">
        <f>634-3139</f>
        <v>-2505</v>
      </c>
    </row>
    <row r="34" spans="2:24">
      <c r="B34" s="618"/>
      <c r="C34" s="378">
        <v>75</v>
      </c>
      <c r="D34" s="378">
        <v>1998</v>
      </c>
      <c r="E34" s="619">
        <v>364</v>
      </c>
      <c r="G34" s="656"/>
      <c r="H34" s="756">
        <v>80</v>
      </c>
      <c r="I34" s="756">
        <v>13663</v>
      </c>
      <c r="J34" s="760">
        <f>1786-4074</f>
        <v>-2288</v>
      </c>
      <c r="L34" s="660"/>
      <c r="M34" s="708"/>
      <c r="N34" s="708"/>
      <c r="O34" s="709"/>
    </row>
    <row r="35" spans="2:24">
      <c r="B35" s="618"/>
      <c r="C35" s="378">
        <v>85</v>
      </c>
      <c r="D35" s="378">
        <v>2602</v>
      </c>
      <c r="E35" s="619">
        <v>188</v>
      </c>
      <c r="G35" s="656"/>
      <c r="H35" s="701"/>
      <c r="I35" s="701"/>
      <c r="J35" s="702"/>
      <c r="L35" s="660"/>
      <c r="M35" s="708"/>
      <c r="N35" s="708"/>
      <c r="O35" s="709"/>
    </row>
    <row r="36" spans="2:24">
      <c r="B36" s="618"/>
      <c r="C36" s="413">
        <v>95</v>
      </c>
      <c r="D36" s="413">
        <v>11599</v>
      </c>
      <c r="E36" s="762">
        <f>340-3458</f>
        <v>-3118</v>
      </c>
      <c r="G36" s="656"/>
      <c r="H36" s="701"/>
      <c r="I36" s="701"/>
      <c r="J36" s="702"/>
      <c r="L36" s="660"/>
      <c r="M36" s="708"/>
      <c r="N36" s="708"/>
      <c r="O36" s="709"/>
    </row>
    <row r="37" spans="2:24">
      <c r="B37" s="618"/>
      <c r="C37" s="378"/>
      <c r="D37" s="378"/>
      <c r="E37" s="619"/>
      <c r="G37" s="656"/>
      <c r="H37" s="701"/>
      <c r="I37" s="701"/>
      <c r="J37" s="702"/>
      <c r="L37" s="660"/>
      <c r="M37" s="708"/>
      <c r="N37" s="708"/>
      <c r="O37" s="709"/>
    </row>
    <row r="38" spans="2:24">
      <c r="B38" s="618"/>
      <c r="C38" s="750" t="s">
        <v>328</v>
      </c>
      <c r="D38" s="751">
        <v>0.03</v>
      </c>
      <c r="E38" s="733"/>
      <c r="G38" s="735"/>
      <c r="H38" s="736"/>
      <c r="I38" s="736"/>
      <c r="J38" s="737"/>
      <c r="K38" s="54"/>
      <c r="L38" s="738"/>
      <c r="M38" s="765"/>
      <c r="N38" s="765"/>
      <c r="O38" s="740"/>
    </row>
    <row r="39" spans="2:24">
      <c r="B39" s="618"/>
      <c r="C39" s="459" t="s">
        <v>289</v>
      </c>
      <c r="D39" s="459" t="s">
        <v>421</v>
      </c>
      <c r="E39" s="733"/>
      <c r="G39" s="735"/>
      <c r="H39" s="753" t="s">
        <v>289</v>
      </c>
      <c r="I39" s="753" t="s">
        <v>421</v>
      </c>
      <c r="J39" s="737"/>
      <c r="K39" s="54"/>
      <c r="L39" s="738"/>
      <c r="M39" s="752" t="s">
        <v>289</v>
      </c>
      <c r="N39" s="752" t="s">
        <v>421</v>
      </c>
      <c r="O39" s="740"/>
      <c r="S39" s="18"/>
      <c r="X39" s="18"/>
    </row>
    <row r="40" spans="2:24">
      <c r="B40" s="618"/>
      <c r="C40" s="763">
        <f>C25</f>
        <v>0</v>
      </c>
      <c r="D40" s="764">
        <f>1/(1+D$38)^C25</f>
        <v>1</v>
      </c>
      <c r="E40" s="733"/>
      <c r="G40" s="735"/>
      <c r="H40" s="754">
        <f>H25</f>
        <v>0</v>
      </c>
      <c r="I40" s="755">
        <f>1/(1+D$38)^H25</f>
        <v>1</v>
      </c>
      <c r="J40" s="737"/>
      <c r="K40" s="54"/>
      <c r="L40" s="738"/>
      <c r="M40" s="743">
        <f>M25</f>
        <v>0</v>
      </c>
      <c r="N40" s="744">
        <f>1/(1+D$38)^M25</f>
        <v>1</v>
      </c>
      <c r="O40" s="740"/>
    </row>
    <row r="41" spans="2:24">
      <c r="B41" s="618"/>
      <c r="C41" s="732">
        <f t="shared" ref="C41:C51" si="0">C26</f>
        <v>1</v>
      </c>
      <c r="D41" s="734">
        <f t="shared" ref="D41:D51" si="1">1/(1+D$38)^C26</f>
        <v>0.970873786407767</v>
      </c>
      <c r="E41" s="733"/>
      <c r="G41" s="735"/>
      <c r="H41" s="736">
        <f t="shared" ref="H41:H49" si="2">H26</f>
        <v>1</v>
      </c>
      <c r="I41" s="741">
        <f t="shared" ref="I41:I49" si="3">1/(1+D$38)^H26</f>
        <v>0.970873786407767</v>
      </c>
      <c r="J41" s="737"/>
      <c r="K41" s="54"/>
      <c r="L41" s="738"/>
      <c r="M41" s="739">
        <f t="shared" ref="M41:M48" si="4">M26</f>
        <v>1</v>
      </c>
      <c r="N41" s="742">
        <f t="shared" ref="N41:N48" si="5">1/(1+D$38)^M26</f>
        <v>0.970873786407767</v>
      </c>
      <c r="O41" s="740"/>
    </row>
    <row r="42" spans="2:24">
      <c r="B42" s="618"/>
      <c r="C42" s="732">
        <f t="shared" si="0"/>
        <v>15</v>
      </c>
      <c r="D42" s="734">
        <f t="shared" si="1"/>
        <v>0.64186194739671765</v>
      </c>
      <c r="E42" s="733"/>
      <c r="G42" s="735"/>
      <c r="H42" s="736">
        <f t="shared" si="2"/>
        <v>15</v>
      </c>
      <c r="I42" s="741">
        <f t="shared" si="3"/>
        <v>0.64186194739671765</v>
      </c>
      <c r="J42" s="737"/>
      <c r="K42" s="54"/>
      <c r="L42" s="738"/>
      <c r="M42" s="739">
        <f t="shared" si="4"/>
        <v>25</v>
      </c>
      <c r="N42" s="742">
        <f t="shared" si="5"/>
        <v>0.47760556926165965</v>
      </c>
      <c r="O42" s="740"/>
    </row>
    <row r="43" spans="2:24">
      <c r="B43" s="618"/>
      <c r="C43" s="732">
        <f t="shared" si="0"/>
        <v>30</v>
      </c>
      <c r="D43" s="734">
        <f t="shared" si="1"/>
        <v>0.41198675951590691</v>
      </c>
      <c r="E43" s="733"/>
      <c r="G43" s="735"/>
      <c r="H43" s="736">
        <f t="shared" si="2"/>
        <v>22</v>
      </c>
      <c r="I43" s="741">
        <f t="shared" si="3"/>
        <v>0.52189250088258554</v>
      </c>
      <c r="J43" s="737"/>
      <c r="K43" s="54"/>
      <c r="L43" s="738"/>
      <c r="M43" s="739">
        <f t="shared" si="4"/>
        <v>30</v>
      </c>
      <c r="N43" s="742">
        <f t="shared" si="5"/>
        <v>0.41198675951590691</v>
      </c>
      <c r="O43" s="740"/>
    </row>
    <row r="44" spans="2:24">
      <c r="B44" s="618"/>
      <c r="C44" s="732">
        <f t="shared" si="0"/>
        <v>35</v>
      </c>
      <c r="D44" s="734">
        <f t="shared" si="1"/>
        <v>0.35538339780838735</v>
      </c>
      <c r="E44" s="733"/>
      <c r="G44" s="656"/>
      <c r="H44" s="701">
        <f t="shared" si="2"/>
        <v>31</v>
      </c>
      <c r="I44" s="703">
        <f t="shared" si="3"/>
        <v>0.39998714516107459</v>
      </c>
      <c r="J44" s="702"/>
      <c r="L44" s="660"/>
      <c r="M44" s="708">
        <f t="shared" si="4"/>
        <v>35</v>
      </c>
      <c r="N44" s="710">
        <f t="shared" si="5"/>
        <v>0.35538339780838735</v>
      </c>
      <c r="O44" s="709"/>
    </row>
    <row r="45" spans="2:24">
      <c r="B45" s="618"/>
      <c r="C45" s="378">
        <f t="shared" si="0"/>
        <v>41</v>
      </c>
      <c r="D45" s="416">
        <f t="shared" si="1"/>
        <v>0.29762800075126877</v>
      </c>
      <c r="E45" s="619"/>
      <c r="G45" s="656"/>
      <c r="H45" s="701">
        <f t="shared" si="2"/>
        <v>36</v>
      </c>
      <c r="I45" s="703">
        <f t="shared" si="3"/>
        <v>0.34503242505668674</v>
      </c>
      <c r="J45" s="702"/>
      <c r="L45" s="660"/>
      <c r="M45" s="708">
        <f t="shared" si="4"/>
        <v>40</v>
      </c>
      <c r="N45" s="710">
        <f t="shared" si="5"/>
        <v>0.30655684077380685</v>
      </c>
      <c r="O45" s="709"/>
    </row>
    <row r="46" spans="2:24">
      <c r="B46" s="618"/>
      <c r="C46" s="378">
        <f t="shared" si="0"/>
        <v>49</v>
      </c>
      <c r="D46" s="416">
        <f t="shared" si="1"/>
        <v>0.2349502921834466</v>
      </c>
      <c r="E46" s="619"/>
      <c r="G46" s="656"/>
      <c r="H46" s="701">
        <f t="shared" si="2"/>
        <v>44</v>
      </c>
      <c r="I46" s="703">
        <f t="shared" si="3"/>
        <v>0.27237178247747956</v>
      </c>
      <c r="J46" s="702"/>
      <c r="L46" s="660"/>
      <c r="M46" s="708">
        <f t="shared" si="4"/>
        <v>45</v>
      </c>
      <c r="N46" s="710">
        <f t="shared" si="5"/>
        <v>0.26443862376454325</v>
      </c>
      <c r="O46" s="709"/>
    </row>
    <row r="47" spans="2:24">
      <c r="B47" s="618"/>
      <c r="C47" s="378">
        <f t="shared" si="0"/>
        <v>57</v>
      </c>
      <c r="D47" s="416">
        <f t="shared" si="1"/>
        <v>0.18547193025437006</v>
      </c>
      <c r="E47" s="619"/>
      <c r="G47" s="656"/>
      <c r="H47" s="701">
        <f t="shared" si="2"/>
        <v>52</v>
      </c>
      <c r="I47" s="703">
        <f t="shared" si="3"/>
        <v>0.215012800254269</v>
      </c>
      <c r="J47" s="702"/>
      <c r="L47" s="660"/>
      <c r="M47" s="708">
        <f t="shared" si="4"/>
        <v>50</v>
      </c>
      <c r="N47" s="710">
        <f t="shared" si="5"/>
        <v>0.22810707978975397</v>
      </c>
      <c r="O47" s="709"/>
    </row>
    <row r="48" spans="2:24">
      <c r="B48" s="618"/>
      <c r="C48" s="378">
        <f t="shared" si="0"/>
        <v>65</v>
      </c>
      <c r="D48" s="416">
        <f t="shared" si="1"/>
        <v>0.14641325444882999</v>
      </c>
      <c r="E48" s="619"/>
      <c r="G48" s="656"/>
      <c r="H48" s="701">
        <f t="shared" si="2"/>
        <v>60</v>
      </c>
      <c r="I48" s="703">
        <f t="shared" si="3"/>
        <v>0.1697330900164177</v>
      </c>
      <c r="J48" s="702"/>
      <c r="L48" s="660"/>
      <c r="M48" s="745">
        <f t="shared" si="4"/>
        <v>55</v>
      </c>
      <c r="N48" s="746">
        <f t="shared" si="5"/>
        <v>0.19676717080686118</v>
      </c>
      <c r="O48" s="709"/>
    </row>
    <row r="49" spans="2:25">
      <c r="B49" s="618"/>
      <c r="C49" s="378">
        <f t="shared" si="0"/>
        <v>75</v>
      </c>
      <c r="D49" s="416">
        <f t="shared" si="1"/>
        <v>0.10894521169560026</v>
      </c>
      <c r="E49" s="619"/>
      <c r="G49" s="656"/>
      <c r="H49" s="756">
        <f t="shared" si="2"/>
        <v>80</v>
      </c>
      <c r="I49" s="757">
        <f t="shared" si="3"/>
        <v>9.3977096625217166E-2</v>
      </c>
      <c r="J49" s="702"/>
      <c r="L49" s="660"/>
      <c r="M49" s="708"/>
      <c r="N49" s="708"/>
      <c r="O49" s="709"/>
    </row>
    <row r="50" spans="2:25">
      <c r="B50" s="618"/>
      <c r="C50" s="378">
        <f t="shared" si="0"/>
        <v>85</v>
      </c>
      <c r="D50" s="416">
        <f t="shared" si="1"/>
        <v>8.1065469079831712E-2</v>
      </c>
      <c r="E50" s="619"/>
      <c r="G50" s="656"/>
      <c r="H50" s="701"/>
      <c r="I50" s="701"/>
      <c r="J50" s="702"/>
      <c r="L50" s="660"/>
      <c r="M50" s="708"/>
      <c r="N50" s="708"/>
      <c r="O50" s="709"/>
    </row>
    <row r="51" spans="2:25">
      <c r="B51" s="618"/>
      <c r="C51" s="413">
        <f t="shared" si="0"/>
        <v>95</v>
      </c>
      <c r="D51" s="467">
        <f t="shared" si="1"/>
        <v>6.0320322250551395E-2</v>
      </c>
      <c r="E51" s="619"/>
      <c r="G51" s="656"/>
      <c r="H51" s="701"/>
      <c r="I51" s="701"/>
      <c r="J51" s="702"/>
      <c r="L51" s="660"/>
      <c r="M51" s="708"/>
      <c r="N51" s="708"/>
      <c r="O51" s="709"/>
    </row>
    <row r="52" spans="2:25">
      <c r="B52" s="618"/>
      <c r="C52" s="378"/>
      <c r="D52" s="378"/>
      <c r="E52" s="619"/>
      <c r="G52" s="656"/>
      <c r="H52" s="701"/>
      <c r="I52" s="701"/>
      <c r="J52" s="702"/>
      <c r="L52" s="660"/>
      <c r="M52" s="708"/>
      <c r="N52" s="708"/>
      <c r="O52" s="709"/>
    </row>
    <row r="53" spans="2:25">
      <c r="B53" s="618"/>
      <c r="C53" s="546" t="s">
        <v>276</v>
      </c>
      <c r="D53" s="717">
        <f>SUMPRODUCT(D40:D51,D25:D36)</f>
        <v>1266.0905838163872</v>
      </c>
      <c r="E53" s="718">
        <f>SUMPRODUCT(D40:D51,E25:E36)</f>
        <v>1065.2067853206311</v>
      </c>
      <c r="G53" s="656"/>
      <c r="H53" s="711" t="s">
        <v>276</v>
      </c>
      <c r="I53" s="712">
        <f>SUMPRODUCT(I40:I49,I25:I34)</f>
        <v>2570.0769547752188</v>
      </c>
      <c r="J53" s="713">
        <f>SUMPRODUCT(I40:I51,J25:J36)</f>
        <v>978.22339395420136</v>
      </c>
      <c r="K53" s="18"/>
      <c r="L53" s="660"/>
      <c r="M53" s="724" t="s">
        <v>276</v>
      </c>
      <c r="N53" s="725">
        <f>SUMPRODUCT(N40:N48,N25:N33)</f>
        <v>416.9902585389932</v>
      </c>
      <c r="O53" s="726">
        <f>SUMPRODUCT(N40:N51,O25:O36)</f>
        <v>690.62453179444037</v>
      </c>
      <c r="R53" s="18"/>
      <c r="W53" s="18"/>
      <c r="X53" s="48"/>
    </row>
    <row r="54" spans="2:25">
      <c r="B54" s="618"/>
      <c r="C54" s="546" t="s">
        <v>278</v>
      </c>
      <c r="D54" s="717">
        <f>D53*(1+$D$38)^C36/((1+$D$38)^C36-1)</f>
        <v>1347.364015415018</v>
      </c>
      <c r="E54" s="718">
        <f>E53*(1+$D$38)^C36/((1+$D$38)^C36-1)</f>
        <v>1133.5849976790203</v>
      </c>
      <c r="F54" s="730"/>
      <c r="G54" s="656"/>
      <c r="H54" s="711" t="s">
        <v>278</v>
      </c>
      <c r="I54" s="712">
        <f>I53*(1+D38)^H34/((1+D38)^H34-1)</f>
        <v>2836.6578209028876</v>
      </c>
      <c r="J54" s="713">
        <f>J53*(1+$D$38)^H34/((1+$D$38)^H34-1)</f>
        <v>1079.6894761826481</v>
      </c>
      <c r="K54" s="731"/>
      <c r="L54" s="722"/>
      <c r="M54" s="724" t="s">
        <v>278</v>
      </c>
      <c r="N54" s="725">
        <f>N53*(1+D38)^M33/((1+D38)^M33-1)</f>
        <v>519.13995965262905</v>
      </c>
      <c r="O54" s="726">
        <f>O53*(1+$D$38)^M33/((1+$D$38)^M33-1)</f>
        <v>859.8061566883224</v>
      </c>
      <c r="P54" s="221"/>
      <c r="Q54" s="221"/>
      <c r="R54" s="18"/>
      <c r="U54" s="221"/>
      <c r="W54" s="18"/>
      <c r="X54" s="48"/>
      <c r="Y54" s="730"/>
    </row>
    <row r="55" spans="2:25" ht="13.5" thickBot="1">
      <c r="B55" s="624"/>
      <c r="C55" s="719" t="s">
        <v>422</v>
      </c>
      <c r="D55" s="720">
        <f>SUM(D54:E54)</f>
        <v>2480.9490130940385</v>
      </c>
      <c r="E55" s="721"/>
      <c r="G55" s="658"/>
      <c r="H55" s="714" t="s">
        <v>422</v>
      </c>
      <c r="I55" s="715">
        <f>SUM(I54:J54)</f>
        <v>3916.3472970855355</v>
      </c>
      <c r="J55" s="716"/>
      <c r="K55" s="221"/>
      <c r="L55" s="723"/>
      <c r="M55" s="727" t="s">
        <v>422</v>
      </c>
      <c r="N55" s="728">
        <f>SUM(N54:O54)</f>
        <v>1378.9461163409514</v>
      </c>
      <c r="O55" s="729"/>
      <c r="P55" s="221"/>
      <c r="Q55" s="221"/>
      <c r="R55" s="18"/>
      <c r="U55" s="221"/>
      <c r="V55" s="221"/>
    </row>
    <row r="56" spans="2:25">
      <c r="N56" s="157"/>
      <c r="O56" s="157"/>
    </row>
    <row r="57" spans="2:25">
      <c r="E57" t="s">
        <v>428</v>
      </c>
      <c r="H57" t="s">
        <v>426</v>
      </c>
      <c r="L57" s="18" t="s">
        <v>533</v>
      </c>
    </row>
    <row r="58" spans="2:25">
      <c r="H58" t="s">
        <v>427</v>
      </c>
      <c r="L58" s="18" t="s">
        <v>534</v>
      </c>
    </row>
    <row r="59" spans="2:25">
      <c r="H59" s="18" t="s">
        <v>532</v>
      </c>
      <c r="L59" s="18" t="s">
        <v>535</v>
      </c>
    </row>
    <row r="62" spans="2:25">
      <c r="C62" t="s">
        <v>538</v>
      </c>
    </row>
    <row r="63" spans="2:25">
      <c r="C63" t="s">
        <v>539</v>
      </c>
    </row>
  </sheetData>
  <mergeCells count="1">
    <mergeCell ref="B4:L10"/>
  </mergeCells>
  <pageMargins left="0.7" right="0.7" top="0.75" bottom="0.75" header="0.3" footer="0.3"/>
  <pageSetup paperSize="9" scale="6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U39"/>
  <sheetViews>
    <sheetView workbookViewId="0">
      <selection activeCell="S30" sqref="S30"/>
    </sheetView>
  </sheetViews>
  <sheetFormatPr baseColWidth="10" defaultColWidth="11.42578125" defaultRowHeight="15"/>
  <cols>
    <col min="1" max="21" width="6.7109375" style="111" customWidth="1"/>
    <col min="22" max="16384" width="11.42578125" style="110"/>
  </cols>
  <sheetData>
    <row r="1" spans="1:21">
      <c r="A1" s="125" t="s">
        <v>237</v>
      </c>
      <c r="B1" s="137"/>
      <c r="C1" s="137"/>
      <c r="D1" s="137"/>
      <c r="E1" s="137"/>
      <c r="F1" s="137"/>
      <c r="G1" s="137"/>
      <c r="H1" s="137"/>
      <c r="I1" s="137"/>
      <c r="J1" s="137"/>
      <c r="K1" s="137"/>
      <c r="L1" s="137"/>
      <c r="M1" s="137"/>
    </row>
    <row r="2" spans="1:21">
      <c r="A2" s="137"/>
      <c r="B2" s="138" t="s">
        <v>236</v>
      </c>
      <c r="C2" s="137"/>
      <c r="D2" s="137"/>
      <c r="E2" s="137"/>
      <c r="F2" s="137"/>
      <c r="G2" s="137"/>
      <c r="H2" s="137" t="s">
        <v>235</v>
      </c>
      <c r="I2" s="137"/>
      <c r="J2" s="137"/>
      <c r="K2" s="137"/>
      <c r="L2" s="137"/>
      <c r="M2" s="137"/>
      <c r="T2" s="113" t="s">
        <v>234</v>
      </c>
      <c r="U2" s="110"/>
    </row>
    <row r="3" spans="1:21">
      <c r="A3" s="137"/>
      <c r="B3" s="138" t="s">
        <v>233</v>
      </c>
      <c r="C3" s="137"/>
      <c r="D3" s="137"/>
      <c r="E3" s="137"/>
      <c r="F3" s="137"/>
      <c r="G3" s="137"/>
      <c r="H3" s="138" t="s">
        <v>232</v>
      </c>
      <c r="I3" s="137"/>
      <c r="J3" s="137"/>
      <c r="K3" s="137"/>
      <c r="L3" s="137"/>
      <c r="M3" s="137"/>
    </row>
    <row r="4" spans="1:21">
      <c r="A4" s="137"/>
      <c r="B4" s="138" t="s">
        <v>231</v>
      </c>
      <c r="C4" s="137"/>
      <c r="D4" s="137"/>
      <c r="E4" s="137"/>
      <c r="F4" s="137"/>
      <c r="G4" s="137"/>
      <c r="H4" s="138"/>
      <c r="I4" s="137"/>
      <c r="J4" s="137"/>
      <c r="K4" s="137"/>
      <c r="L4" s="137"/>
      <c r="M4" s="137"/>
      <c r="N4" s="112"/>
      <c r="O4" s="112"/>
      <c r="P4" s="112"/>
      <c r="Q4" s="112"/>
      <c r="R4" s="112"/>
      <c r="S4" s="112"/>
      <c r="T4" s="112"/>
      <c r="U4" s="112"/>
    </row>
    <row r="5" spans="1:21">
      <c r="A5" s="137"/>
      <c r="B5" s="137"/>
      <c r="C5" s="137"/>
      <c r="D5" s="137"/>
      <c r="E5" s="137"/>
      <c r="F5" s="137"/>
      <c r="G5" s="137"/>
      <c r="H5" s="137"/>
      <c r="I5" s="137"/>
      <c r="J5" s="137"/>
      <c r="K5" s="137"/>
      <c r="L5" s="137"/>
      <c r="M5" s="137"/>
    </row>
    <row r="6" spans="1:21">
      <c r="A6" s="125" t="s">
        <v>230</v>
      </c>
      <c r="B6" s="125"/>
      <c r="C6" s="125"/>
      <c r="D6" s="125"/>
      <c r="E6" s="125"/>
      <c r="F6" s="125"/>
      <c r="G6" s="125"/>
      <c r="H6" s="125"/>
      <c r="I6" s="125"/>
      <c r="J6" s="125"/>
      <c r="K6" s="125"/>
      <c r="L6" s="125"/>
      <c r="M6" s="125"/>
      <c r="N6" s="125"/>
      <c r="O6" s="125"/>
      <c r="P6" s="125"/>
      <c r="Q6" s="125"/>
      <c r="R6" s="125"/>
      <c r="S6" s="125"/>
      <c r="T6" s="125"/>
      <c r="U6" s="125"/>
    </row>
    <row r="7" spans="1:21">
      <c r="A7" s="815" t="s">
        <v>177</v>
      </c>
      <c r="B7" s="815" t="s">
        <v>17</v>
      </c>
      <c r="C7" s="817" t="s">
        <v>229</v>
      </c>
      <c r="D7" s="815"/>
      <c r="E7" s="815"/>
      <c r="F7" s="815"/>
      <c r="G7" s="815" t="s">
        <v>52</v>
      </c>
      <c r="H7" s="815"/>
      <c r="I7" s="815"/>
      <c r="J7" s="815"/>
      <c r="K7" s="815" t="s">
        <v>228</v>
      </c>
      <c r="L7" s="815"/>
      <c r="M7" s="815"/>
      <c r="N7" s="815"/>
      <c r="O7" s="811" t="s">
        <v>227</v>
      </c>
      <c r="P7" s="812"/>
      <c r="Q7" s="812"/>
      <c r="R7" s="812"/>
      <c r="S7" s="812"/>
      <c r="T7" s="813"/>
      <c r="U7" s="110"/>
    </row>
    <row r="8" spans="1:21">
      <c r="A8" s="816"/>
      <c r="B8" s="816"/>
      <c r="C8" s="135" t="s">
        <v>226</v>
      </c>
      <c r="D8" s="135" t="s">
        <v>225</v>
      </c>
      <c r="E8" s="135" t="s">
        <v>224</v>
      </c>
      <c r="F8" s="135" t="s">
        <v>223</v>
      </c>
      <c r="G8" s="135" t="s">
        <v>226</v>
      </c>
      <c r="H8" s="135" t="s">
        <v>225</v>
      </c>
      <c r="I8" s="135" t="s">
        <v>224</v>
      </c>
      <c r="J8" s="135" t="s">
        <v>223</v>
      </c>
      <c r="K8" s="135" t="s">
        <v>226</v>
      </c>
      <c r="L8" s="135" t="s">
        <v>225</v>
      </c>
      <c r="M8" s="135" t="s">
        <v>224</v>
      </c>
      <c r="N8" s="135" t="s">
        <v>223</v>
      </c>
      <c r="O8" s="136" t="s">
        <v>222</v>
      </c>
      <c r="P8" s="135" t="s">
        <v>221</v>
      </c>
      <c r="Q8" s="135" t="s">
        <v>220</v>
      </c>
      <c r="R8" s="135" t="s">
        <v>219</v>
      </c>
      <c r="S8" s="135" t="s">
        <v>218</v>
      </c>
      <c r="T8" s="135" t="s">
        <v>217</v>
      </c>
      <c r="U8" s="110"/>
    </row>
    <row r="9" spans="1:21">
      <c r="A9" s="134">
        <v>17</v>
      </c>
      <c r="B9" s="131">
        <v>13.4950675954818</v>
      </c>
      <c r="C9" s="132">
        <v>1613.1</v>
      </c>
      <c r="D9" s="132">
        <v>45.656416641343803</v>
      </c>
      <c r="E9" s="131">
        <v>26.758087691504471</v>
      </c>
      <c r="F9" s="132">
        <v>149.81209259048066</v>
      </c>
      <c r="G9" s="132">
        <v>526.61999999999989</v>
      </c>
      <c r="H9" s="132">
        <v>44.25019909091025</v>
      </c>
      <c r="I9" s="131">
        <v>8.20574360108143</v>
      </c>
      <c r="J9" s="132">
        <v>45.497988365375363</v>
      </c>
      <c r="K9" s="132">
        <v>1086.48</v>
      </c>
      <c r="L9" s="132">
        <v>46.322656707690527</v>
      </c>
      <c r="M9" s="131">
        <v>18.552344090423041</v>
      </c>
      <c r="N9" s="132">
        <v>104.3141042251053</v>
      </c>
      <c r="O9" s="131">
        <v>2.4693779285742843</v>
      </c>
      <c r="P9" s="133">
        <v>2.2737883631294848</v>
      </c>
      <c r="Q9" s="133">
        <v>1.5740051583237924</v>
      </c>
      <c r="R9" s="131">
        <v>22.828080270668995</v>
      </c>
      <c r="S9" s="131">
        <v>8.8124760347341571</v>
      </c>
      <c r="T9" s="132">
        <v>149.81209259048066</v>
      </c>
      <c r="U9" s="110"/>
    </row>
    <row r="10" spans="1:21">
      <c r="A10" s="129">
        <v>23</v>
      </c>
      <c r="B10" s="123">
        <v>18.0576152915954</v>
      </c>
      <c r="C10" s="121">
        <v>1082.3399999999999</v>
      </c>
      <c r="D10" s="121">
        <v>61.138924279136234</v>
      </c>
      <c r="E10" s="123">
        <v>32.195074269199949</v>
      </c>
      <c r="F10" s="121">
        <v>241.28258584911927</v>
      </c>
      <c r="G10" s="121">
        <v>355.31999999999994</v>
      </c>
      <c r="H10" s="121">
        <v>52.91006381840986</v>
      </c>
      <c r="I10" s="123">
        <v>7.9156459361992475</v>
      </c>
      <c r="J10" s="121">
        <v>56.680243671617973</v>
      </c>
      <c r="K10" s="121">
        <v>727.02</v>
      </c>
      <c r="L10" s="121">
        <v>64.781497249341243</v>
      </c>
      <c r="M10" s="123">
        <v>24.279428333000702</v>
      </c>
      <c r="N10" s="121">
        <v>184.6023421775013</v>
      </c>
      <c r="O10" s="123">
        <v>2.4701540618861819</v>
      </c>
      <c r="P10" s="128">
        <v>2.0353950141873889</v>
      </c>
      <c r="Q10" s="128">
        <v>1.7565572987078861</v>
      </c>
      <c r="R10" s="123">
        <v>24.527584567086151</v>
      </c>
      <c r="S10" s="123">
        <v>12.468720618021507</v>
      </c>
      <c r="T10" s="121">
        <v>286.78057421449466</v>
      </c>
      <c r="U10" s="110"/>
    </row>
    <row r="11" spans="1:21">
      <c r="A11" s="129">
        <v>29</v>
      </c>
      <c r="B11" s="123">
        <v>22.414717399597102</v>
      </c>
      <c r="C11" s="121">
        <v>723.69</v>
      </c>
      <c r="D11" s="121">
        <v>79.602421620658333</v>
      </c>
      <c r="E11" s="123">
        <v>36.491798418125036</v>
      </c>
      <c r="F11" s="121">
        <v>331.76784958001821</v>
      </c>
      <c r="G11" s="121">
        <v>203.39999999999998</v>
      </c>
      <c r="H11" s="121">
        <v>68.061956891111137</v>
      </c>
      <c r="I11" s="123">
        <v>7.4980778937930843</v>
      </c>
      <c r="J11" s="121">
        <v>66.274324155633622</v>
      </c>
      <c r="K11" s="121">
        <v>520.29000000000008</v>
      </c>
      <c r="L11" s="121">
        <v>83.682407624449866</v>
      </c>
      <c r="M11" s="123">
        <v>28.993720524331952</v>
      </c>
      <c r="N11" s="121">
        <v>265.49352542438459</v>
      </c>
      <c r="O11" s="123">
        <v>2.4829138861299023</v>
      </c>
      <c r="P11" s="128">
        <v>1.8400343602051954</v>
      </c>
      <c r="Q11" s="128">
        <v>1.8142478605312315</v>
      </c>
      <c r="R11" s="123">
        <v>25.331592471871051</v>
      </c>
      <c r="S11" s="123">
        <v>14.963657986793502</v>
      </c>
      <c r="T11" s="121">
        <v>433.94608161701154</v>
      </c>
      <c r="U11" s="110"/>
    </row>
    <row r="12" spans="1:21">
      <c r="A12" s="129">
        <v>35</v>
      </c>
      <c r="B12" s="123">
        <v>26.490654706954899</v>
      </c>
      <c r="C12" s="121">
        <v>517.68000000000006</v>
      </c>
      <c r="D12" s="121">
        <v>98.57989094122928</v>
      </c>
      <c r="E12" s="123">
        <v>40.033926685563124</v>
      </c>
      <c r="F12" s="121">
        <v>417.4830802556109</v>
      </c>
      <c r="G12" s="121">
        <v>138.60000000000008</v>
      </c>
      <c r="H12" s="121">
        <v>85.036727762853886</v>
      </c>
      <c r="I12" s="123">
        <v>7.9756565938348558</v>
      </c>
      <c r="J12" s="121">
        <v>81.891959827683593</v>
      </c>
      <c r="K12" s="121">
        <v>379.08</v>
      </c>
      <c r="L12" s="121">
        <v>103.08833796503288</v>
      </c>
      <c r="M12" s="123">
        <v>32.058270091728268</v>
      </c>
      <c r="N12" s="121">
        <v>335.59112042792731</v>
      </c>
      <c r="O12" s="123">
        <v>2.5284446888098464</v>
      </c>
      <c r="P12" s="128">
        <v>1.6599176262931803</v>
      </c>
      <c r="Q12" s="128">
        <v>1.8186684033324825</v>
      </c>
      <c r="R12" s="123">
        <v>25.230408705488856</v>
      </c>
      <c r="S12" s="123">
        <v>16.741018184235365</v>
      </c>
      <c r="T12" s="121">
        <v>585.9356364482378</v>
      </c>
      <c r="U12" s="110"/>
    </row>
    <row r="13" spans="1:21">
      <c r="A13" s="129">
        <v>41</v>
      </c>
      <c r="B13" s="123">
        <v>30.256224988937301</v>
      </c>
      <c r="C13" s="121">
        <v>377.55</v>
      </c>
      <c r="D13" s="121">
        <v>118.25900609789196</v>
      </c>
      <c r="E13" s="123">
        <v>42.01777584948735</v>
      </c>
      <c r="F13" s="121">
        <v>486.97357266086044</v>
      </c>
      <c r="G13" s="121">
        <v>92.699999999999989</v>
      </c>
      <c r="H13" s="121">
        <v>103.83253718575199</v>
      </c>
      <c r="I13" s="123">
        <v>7.9531065836822705</v>
      </c>
      <c r="J13" s="121">
        <v>91.445590703320192</v>
      </c>
      <c r="K13" s="121">
        <v>284.85000000000002</v>
      </c>
      <c r="L13" s="121">
        <v>122.58826781974285</v>
      </c>
      <c r="M13" s="123">
        <v>34.06466926580508</v>
      </c>
      <c r="N13" s="121">
        <v>395.52798195754025</v>
      </c>
      <c r="O13" s="123">
        <v>2.579057267822551</v>
      </c>
      <c r="P13" s="128">
        <v>1.5033175251066748</v>
      </c>
      <c r="Q13" s="128">
        <v>1.7954365823023406</v>
      </c>
      <c r="R13" s="123">
        <v>24.688656532843492</v>
      </c>
      <c r="S13" s="123">
        <v>17.983368016613927</v>
      </c>
      <c r="T13" s="121">
        <v>737.31808868117105</v>
      </c>
      <c r="U13" s="110"/>
    </row>
    <row r="14" spans="1:21">
      <c r="A14" s="129">
        <v>47</v>
      </c>
      <c r="B14" s="123">
        <v>33.7332238845825</v>
      </c>
      <c r="C14" s="121">
        <v>284.04000000000002</v>
      </c>
      <c r="D14" s="121">
        <v>138.06261142667816</v>
      </c>
      <c r="E14" s="123">
        <v>43.084574416445129</v>
      </c>
      <c r="F14" s="121">
        <v>543.65992115460119</v>
      </c>
      <c r="G14" s="121">
        <v>60.750000000000028</v>
      </c>
      <c r="H14" s="121">
        <v>122.18772002881349</v>
      </c>
      <c r="I14" s="123">
        <v>7.2175789062625455</v>
      </c>
      <c r="J14" s="121">
        <v>90.655016110670715</v>
      </c>
      <c r="K14" s="121">
        <v>223.29</v>
      </c>
      <c r="L14" s="121">
        <v>142.07504241338845</v>
      </c>
      <c r="M14" s="123">
        <v>35.866995510182583</v>
      </c>
      <c r="N14" s="121">
        <v>453.00490504393048</v>
      </c>
      <c r="O14" s="123">
        <v>2.6159357644601755</v>
      </c>
      <c r="P14" s="128">
        <v>1.3729496730321589</v>
      </c>
      <c r="Q14" s="128">
        <v>1.7581447877667238</v>
      </c>
      <c r="R14" s="123">
        <v>24.056754219701542</v>
      </c>
      <c r="S14" s="123">
        <v>18.839362295281532</v>
      </c>
      <c r="T14" s="121">
        <v>885.45002787823194</v>
      </c>
      <c r="U14" s="110"/>
    </row>
    <row r="15" spans="1:21">
      <c r="A15" s="129">
        <v>53</v>
      </c>
      <c r="B15" s="123">
        <v>36.952181663513102</v>
      </c>
      <c r="C15" s="121">
        <v>222.66</v>
      </c>
      <c r="D15" s="121">
        <v>157.7706570001495</v>
      </c>
      <c r="E15" s="123">
        <v>44.104693548375536</v>
      </c>
      <c r="F15" s="121">
        <v>597.34543036213972</v>
      </c>
      <c r="G15" s="121">
        <v>41.849999999999994</v>
      </c>
      <c r="H15" s="121">
        <v>140.63798152786916</v>
      </c>
      <c r="I15" s="123">
        <v>6.5870482954140854</v>
      </c>
      <c r="J15" s="121">
        <v>89.018488379947428</v>
      </c>
      <c r="K15" s="121">
        <v>180.81</v>
      </c>
      <c r="L15" s="121">
        <v>161.47730598695998</v>
      </c>
      <c r="M15" s="123">
        <v>37.517645252961451</v>
      </c>
      <c r="N15" s="121">
        <v>508.3269419821923</v>
      </c>
      <c r="O15" s="123">
        <v>2.6283132333381616</v>
      </c>
      <c r="P15" s="128">
        <v>1.2659618624473801</v>
      </c>
      <c r="Q15" s="128">
        <v>1.7145377936458295</v>
      </c>
      <c r="R15" s="123">
        <v>23.429347805815201</v>
      </c>
      <c r="S15" s="123">
        <v>19.430010437668699</v>
      </c>
      <c r="T15" s="121">
        <v>1029.7905531964411</v>
      </c>
      <c r="U15" s="110"/>
    </row>
    <row r="16" spans="1:21">
      <c r="A16" s="129">
        <v>59</v>
      </c>
      <c r="B16" s="123">
        <v>39.9346520767211</v>
      </c>
      <c r="C16" s="121">
        <v>180.45000000000002</v>
      </c>
      <c r="D16" s="121">
        <v>177.24718538698895</v>
      </c>
      <c r="E16" s="123">
        <v>45.113416427645731</v>
      </c>
      <c r="F16" s="121">
        <v>648.90302881708351</v>
      </c>
      <c r="G16" s="121">
        <v>30.060000000000031</v>
      </c>
      <c r="H16" s="121">
        <v>159.83386537732332</v>
      </c>
      <c r="I16" s="123">
        <v>6.1110623829403821</v>
      </c>
      <c r="J16" s="121">
        <v>87.815388013469146</v>
      </c>
      <c r="K16" s="121">
        <v>150.38999999999999</v>
      </c>
      <c r="L16" s="121">
        <v>180.52645853561978</v>
      </c>
      <c r="M16" s="123">
        <v>39.002354044705349</v>
      </c>
      <c r="N16" s="121">
        <v>561.08764080361436</v>
      </c>
      <c r="O16" s="123">
        <v>2.6271268387429481</v>
      </c>
      <c r="P16" s="128">
        <v>1.1755309913199301</v>
      </c>
      <c r="Q16" s="128">
        <v>1.6689199023375125</v>
      </c>
      <c r="R16" s="123">
        <v>22.805916874840062</v>
      </c>
      <c r="S16" s="123">
        <v>19.836722712395463</v>
      </c>
      <c r="T16" s="121">
        <v>1170.3666400313323</v>
      </c>
      <c r="U16" s="110"/>
    </row>
    <row r="17" spans="1:21">
      <c r="A17" s="129">
        <v>65</v>
      </c>
      <c r="B17" s="123">
        <v>42.7109277954101</v>
      </c>
      <c r="C17" s="121">
        <v>150.21</v>
      </c>
      <c r="D17" s="121">
        <v>196.28921956807747</v>
      </c>
      <c r="E17" s="123">
        <v>46.055539992624929</v>
      </c>
      <c r="F17" s="121">
        <v>697.92314205265473</v>
      </c>
      <c r="G17" s="121">
        <v>22.139999999999986</v>
      </c>
      <c r="H17" s="121">
        <v>180.14228677130134</v>
      </c>
      <c r="I17" s="123">
        <v>5.7174068214806368</v>
      </c>
      <c r="J17" s="121">
        <v>86.784286715111762</v>
      </c>
      <c r="K17" s="121">
        <v>128.07000000000002</v>
      </c>
      <c r="L17" s="121">
        <v>198.94779264737781</v>
      </c>
      <c r="M17" s="123">
        <v>40.338133171144293</v>
      </c>
      <c r="N17" s="121">
        <v>611.13885533754296</v>
      </c>
      <c r="O17" s="123">
        <v>2.610403843312298</v>
      </c>
      <c r="P17" s="128">
        <v>1.10022543525447</v>
      </c>
      <c r="Q17" s="128">
        <v>1.6233763105512742</v>
      </c>
      <c r="R17" s="123">
        <v>22.229422867611902</v>
      </c>
      <c r="S17" s="123">
        <v>20.110802173544197</v>
      </c>
      <c r="T17" s="121">
        <v>1307.2021412803729</v>
      </c>
      <c r="U17" s="110"/>
    </row>
    <row r="18" spans="1:21">
      <c r="A18" s="129">
        <v>71</v>
      </c>
      <c r="B18" s="123">
        <v>45.2915352592468</v>
      </c>
      <c r="C18" s="121">
        <v>128.07000000000002</v>
      </c>
      <c r="D18" s="121">
        <v>214.6102157072516</v>
      </c>
      <c r="E18" s="123">
        <v>46.939485782671113</v>
      </c>
      <c r="F18" s="121">
        <v>744.51539254321438</v>
      </c>
      <c r="G18" s="121">
        <v>17.550000000000026</v>
      </c>
      <c r="H18" s="121">
        <v>195.09977474266094</v>
      </c>
      <c r="I18" s="123">
        <v>5.3159488402566666</v>
      </c>
      <c r="J18" s="121">
        <v>84.568192193538835</v>
      </c>
      <c r="K18" s="121">
        <v>110.52</v>
      </c>
      <c r="L18" s="121">
        <v>217.54744377088406</v>
      </c>
      <c r="M18" s="123">
        <v>41.623536942414447</v>
      </c>
      <c r="N18" s="121">
        <v>659.94720034967554</v>
      </c>
      <c r="O18" s="123">
        <v>2.6103615537471967</v>
      </c>
      <c r="P18" s="128">
        <v>1.0348423921219201</v>
      </c>
      <c r="Q18" s="128">
        <v>1.5791663774276006</v>
      </c>
      <c r="R18" s="123">
        <v>21.684820986403945</v>
      </c>
      <c r="S18" s="123">
        <v>20.289840542056961</v>
      </c>
      <c r="T18" s="121">
        <v>1440.5786784860443</v>
      </c>
      <c r="U18" s="110"/>
    </row>
    <row r="19" spans="1:21">
      <c r="A19" s="129">
        <v>77</v>
      </c>
      <c r="B19" s="123">
        <v>47.694570224761897</v>
      </c>
      <c r="C19" s="121">
        <v>110.52</v>
      </c>
      <c r="D19" s="121">
        <v>233.20961309336724</v>
      </c>
      <c r="E19" s="123">
        <v>47.832591295145967</v>
      </c>
      <c r="F19" s="121">
        <v>790.05612626809921</v>
      </c>
      <c r="G19" s="121">
        <v>13.5</v>
      </c>
      <c r="H19" s="121">
        <v>216.22373539070853</v>
      </c>
      <c r="I19" s="123">
        <v>5.0226236352920637</v>
      </c>
      <c r="J19" s="121">
        <v>83.689155174878124</v>
      </c>
      <c r="K19" s="121">
        <v>97.02</v>
      </c>
      <c r="L19" s="121">
        <v>235.47605250882432</v>
      </c>
      <c r="M19" s="123">
        <v>42.809967659853903</v>
      </c>
      <c r="N19" s="121">
        <v>706.36697109322108</v>
      </c>
      <c r="O19" s="123">
        <v>2.6047925434641144</v>
      </c>
      <c r="P19" s="128">
        <v>0.97854221948576969</v>
      </c>
      <c r="Q19" s="128">
        <v>1.5367515214297554</v>
      </c>
      <c r="R19" s="123">
        <v>21.176727799771793</v>
      </c>
      <c r="S19" s="123">
        <v>20.398540316941141</v>
      </c>
      <c r="T19" s="121">
        <v>1570.6876044044679</v>
      </c>
      <c r="U19" s="110"/>
    </row>
    <row r="20" spans="1:21">
      <c r="A20" s="127">
        <v>83</v>
      </c>
      <c r="B20" s="119">
        <v>49.918650207519498</v>
      </c>
      <c r="C20" s="117">
        <v>97.02</v>
      </c>
      <c r="D20" s="117">
        <v>251.10480776960901</v>
      </c>
      <c r="E20" s="119">
        <v>48.681220976768522</v>
      </c>
      <c r="F20" s="117">
        <v>833.42733789185183</v>
      </c>
      <c r="G20" s="117">
        <v>97.02</v>
      </c>
      <c r="H20" s="117">
        <v>251.10480776960901</v>
      </c>
      <c r="I20" s="119">
        <v>48.681220976768522</v>
      </c>
      <c r="J20" s="117">
        <v>833.42733789185183</v>
      </c>
      <c r="K20" s="117" t="s">
        <v>205</v>
      </c>
      <c r="L20" s="117" t="s">
        <v>205</v>
      </c>
      <c r="M20" s="119" t="s">
        <v>205</v>
      </c>
      <c r="N20" s="117" t="s">
        <v>205</v>
      </c>
      <c r="O20" s="119" t="s">
        <v>205</v>
      </c>
      <c r="P20" s="126" t="s">
        <v>205</v>
      </c>
      <c r="Q20" s="126">
        <v>1.4963990417711539</v>
      </c>
      <c r="R20" s="119" t="s">
        <v>205</v>
      </c>
      <c r="S20" s="119">
        <v>20.454794833772272</v>
      </c>
      <c r="T20" s="117">
        <v>1697.7479712030986</v>
      </c>
      <c r="U20" s="110"/>
    </row>
    <row r="22" spans="1:21">
      <c r="A22" s="125" t="s">
        <v>216</v>
      </c>
      <c r="B22" s="125"/>
      <c r="C22" s="125"/>
      <c r="D22" s="125"/>
      <c r="E22" s="125"/>
      <c r="F22" s="125"/>
      <c r="G22" s="125"/>
      <c r="H22" s="125"/>
      <c r="I22" s="125"/>
      <c r="J22" s="125"/>
      <c r="K22" s="125"/>
      <c r="L22" s="125"/>
      <c r="M22" s="125"/>
      <c r="N22" s="125"/>
      <c r="O22" s="125"/>
      <c r="P22" s="125"/>
      <c r="Q22" s="125"/>
      <c r="R22" s="125"/>
      <c r="S22" s="125"/>
      <c r="T22" s="125"/>
      <c r="U22" s="125"/>
    </row>
    <row r="23" spans="1:21">
      <c r="A23" s="125"/>
      <c r="B23" s="125"/>
      <c r="C23" s="125"/>
      <c r="D23" s="125"/>
      <c r="E23" s="125"/>
      <c r="F23" s="125"/>
      <c r="G23" s="125"/>
      <c r="H23" s="125"/>
      <c r="I23" s="125"/>
      <c r="J23" s="125"/>
      <c r="K23" s="125"/>
      <c r="L23" s="125"/>
      <c r="M23" s="125"/>
      <c r="N23" s="125"/>
      <c r="O23" s="125"/>
      <c r="P23" s="125"/>
      <c r="Q23" s="125"/>
      <c r="R23" s="125"/>
      <c r="S23" s="125"/>
      <c r="T23" s="125"/>
      <c r="U23" s="125"/>
    </row>
    <row r="24" spans="1:21" ht="15" customHeight="1">
      <c r="A24" s="814" t="s">
        <v>177</v>
      </c>
      <c r="B24" s="814" t="s">
        <v>17</v>
      </c>
      <c r="C24" s="814" t="s">
        <v>238</v>
      </c>
      <c r="D24" s="814"/>
      <c r="E24" s="814"/>
      <c r="F24" s="814"/>
      <c r="G24" s="814"/>
      <c r="H24" s="814"/>
      <c r="I24" s="814"/>
      <c r="J24" s="814"/>
      <c r="K24" s="814" t="s">
        <v>215</v>
      </c>
      <c r="L24" s="814"/>
      <c r="M24" s="814"/>
      <c r="N24" s="814"/>
      <c r="O24" s="814"/>
      <c r="P24" s="814"/>
      <c r="Q24" s="814"/>
      <c r="R24" s="814"/>
      <c r="S24" s="110"/>
    </row>
    <row r="25" spans="1:21">
      <c r="A25" s="814"/>
      <c r="B25" s="814"/>
      <c r="C25" s="124" t="s">
        <v>214</v>
      </c>
      <c r="D25" s="124" t="s">
        <v>213</v>
      </c>
      <c r="E25" s="124" t="s">
        <v>212</v>
      </c>
      <c r="F25" s="124" t="s">
        <v>211</v>
      </c>
      <c r="G25" s="124" t="s">
        <v>210</v>
      </c>
      <c r="H25" s="124" t="s">
        <v>209</v>
      </c>
      <c r="I25" s="124" t="s">
        <v>208</v>
      </c>
      <c r="J25" s="124" t="s">
        <v>207</v>
      </c>
      <c r="K25" s="124" t="s">
        <v>214</v>
      </c>
      <c r="L25" s="124" t="s">
        <v>213</v>
      </c>
      <c r="M25" s="124" t="s">
        <v>212</v>
      </c>
      <c r="N25" s="124" t="s">
        <v>211</v>
      </c>
      <c r="O25" s="124" t="s">
        <v>210</v>
      </c>
      <c r="P25" s="124" t="s">
        <v>209</v>
      </c>
      <c r="Q25" s="124" t="s">
        <v>208</v>
      </c>
      <c r="R25" s="124" t="s">
        <v>207</v>
      </c>
      <c r="S25" s="142"/>
      <c r="T25" s="143"/>
    </row>
    <row r="26" spans="1:21">
      <c r="A26" s="120">
        <v>17</v>
      </c>
      <c r="B26" s="123">
        <v>13.4950675954818</v>
      </c>
      <c r="C26" s="121">
        <v>28.660366255576125</v>
      </c>
      <c r="D26" s="121">
        <v>88.825485229076889</v>
      </c>
      <c r="E26" s="121">
        <v>26.820758087918033</v>
      </c>
      <c r="F26" s="121">
        <v>5.1639837679035789</v>
      </c>
      <c r="G26" s="121">
        <v>0</v>
      </c>
      <c r="H26" s="121">
        <v>0</v>
      </c>
      <c r="I26" s="121">
        <v>0</v>
      </c>
      <c r="J26" s="121">
        <v>0</v>
      </c>
      <c r="K26" s="122">
        <v>10.259739783920416</v>
      </c>
      <c r="L26" s="122">
        <v>25.723368212542486</v>
      </c>
      <c r="M26" s="122">
        <v>7.5344800030485537</v>
      </c>
      <c r="N26" s="122">
        <v>1.6389011158571147</v>
      </c>
      <c r="O26" s="122">
        <v>0</v>
      </c>
      <c r="P26" s="122">
        <v>0</v>
      </c>
      <c r="Q26" s="122">
        <v>0</v>
      </c>
      <c r="R26" s="122">
        <v>0</v>
      </c>
      <c r="S26" s="130"/>
    </row>
    <row r="27" spans="1:21">
      <c r="A27" s="120">
        <v>23</v>
      </c>
      <c r="B27" s="123">
        <v>18.0576152915954</v>
      </c>
      <c r="C27" s="121">
        <v>7.8798013289545281</v>
      </c>
      <c r="D27" s="121">
        <v>71.201218864458397</v>
      </c>
      <c r="E27" s="121">
        <v>56.34151926302706</v>
      </c>
      <c r="F27" s="121">
        <v>88.993734587704523</v>
      </c>
      <c r="G27" s="121">
        <v>16.560897255016727</v>
      </c>
      <c r="H27" s="121">
        <v>0</v>
      </c>
      <c r="I27" s="121">
        <v>0</v>
      </c>
      <c r="J27" s="121">
        <v>0</v>
      </c>
      <c r="K27" s="122">
        <v>5.2849850349946186</v>
      </c>
      <c r="L27" s="122">
        <v>26.176050147879607</v>
      </c>
      <c r="M27" s="122">
        <v>9.8564125761956376</v>
      </c>
      <c r="N27" s="122">
        <v>12.673938149163796</v>
      </c>
      <c r="O27" s="122">
        <v>2.3834432134263475</v>
      </c>
      <c r="P27" s="122">
        <v>0</v>
      </c>
      <c r="Q27" s="122">
        <v>0</v>
      </c>
      <c r="R27" s="122">
        <v>0</v>
      </c>
      <c r="S27" s="130"/>
      <c r="U27" s="144"/>
    </row>
    <row r="28" spans="1:21">
      <c r="A28" s="120">
        <v>29</v>
      </c>
      <c r="B28" s="123">
        <v>22.414717399597102</v>
      </c>
      <c r="C28" s="121">
        <v>1.2094616765120618</v>
      </c>
      <c r="D28" s="121">
        <v>25.719708248790795</v>
      </c>
      <c r="E28" s="121">
        <v>36.939561651090763</v>
      </c>
      <c r="F28" s="121">
        <v>124.40288152302954</v>
      </c>
      <c r="G28" s="121">
        <v>143.05732562849036</v>
      </c>
      <c r="H28" s="121">
        <v>0</v>
      </c>
      <c r="I28" s="121">
        <v>0</v>
      </c>
      <c r="J28" s="121">
        <v>0</v>
      </c>
      <c r="K28" s="122">
        <v>0.94952904463390786</v>
      </c>
      <c r="L28" s="122">
        <v>13.826035789448714</v>
      </c>
      <c r="M28" s="122">
        <v>13.555064376678823</v>
      </c>
      <c r="N28" s="122">
        <v>19.334016922511939</v>
      </c>
      <c r="O28" s="122">
        <v>18.170767170256468</v>
      </c>
      <c r="P28" s="122">
        <v>0</v>
      </c>
      <c r="Q28" s="122">
        <v>0</v>
      </c>
      <c r="R28" s="122">
        <v>0</v>
      </c>
      <c r="S28" s="130"/>
    </row>
    <row r="29" spans="1:21">
      <c r="A29" s="120">
        <v>35</v>
      </c>
      <c r="B29" s="123">
        <v>26.490654706954899</v>
      </c>
      <c r="C29" s="121">
        <v>3.6664639986467212E-2</v>
      </c>
      <c r="D29" s="121">
        <v>6.7020027449418293</v>
      </c>
      <c r="E29" s="121">
        <v>13.706015775190885</v>
      </c>
      <c r="F29" s="121">
        <v>74.625470885543194</v>
      </c>
      <c r="G29" s="121">
        <v>219.89976097957026</v>
      </c>
      <c r="H29" s="121">
        <v>101.87155947475826</v>
      </c>
      <c r="I29" s="121">
        <v>0</v>
      </c>
      <c r="J29" s="121">
        <v>0</v>
      </c>
      <c r="K29" s="122">
        <v>3.6664639986467212E-2</v>
      </c>
      <c r="L29" s="122">
        <v>5.0263573054867319</v>
      </c>
      <c r="M29" s="122">
        <v>7.6888429420393898</v>
      </c>
      <c r="N29" s="122">
        <v>25.352119711626184</v>
      </c>
      <c r="O29" s="122">
        <v>30.779793106910155</v>
      </c>
      <c r="P29" s="122">
        <v>12.366576366014057</v>
      </c>
      <c r="Q29" s="122">
        <v>0</v>
      </c>
      <c r="R29" s="122">
        <v>0</v>
      </c>
      <c r="S29" s="130"/>
    </row>
    <row r="30" spans="1:21">
      <c r="A30" s="120">
        <v>41</v>
      </c>
      <c r="B30" s="123">
        <v>30.256224988937301</v>
      </c>
      <c r="C30" s="121">
        <v>0</v>
      </c>
      <c r="D30" s="121">
        <v>0.9374230767475189</v>
      </c>
      <c r="E30" s="121">
        <v>2.9713809888549467</v>
      </c>
      <c r="F30" s="121">
        <v>26.191631515225275</v>
      </c>
      <c r="G30" s="121">
        <v>179.72750183739009</v>
      </c>
      <c r="H30" s="121">
        <v>226.92914682113337</v>
      </c>
      <c r="I30" s="121">
        <v>49.472313354979576</v>
      </c>
      <c r="J30" s="121">
        <v>0</v>
      </c>
      <c r="K30" s="122">
        <v>0</v>
      </c>
      <c r="L30" s="122">
        <v>0.83902419741310297</v>
      </c>
      <c r="M30" s="122">
        <v>2.0387129511574638</v>
      </c>
      <c r="N30" s="122">
        <v>13.948021901378656</v>
      </c>
      <c r="O30" s="122">
        <v>43.366052347594895</v>
      </c>
      <c r="P30" s="122">
        <v>23.119483505487256</v>
      </c>
      <c r="Q30" s="122">
        <v>7.3901207337595283</v>
      </c>
      <c r="R30" s="122">
        <v>0</v>
      </c>
      <c r="S30" s="130"/>
    </row>
    <row r="31" spans="1:21">
      <c r="A31" s="120">
        <v>47</v>
      </c>
      <c r="B31" s="123">
        <v>33.7332238845825</v>
      </c>
      <c r="C31" s="121">
        <v>0</v>
      </c>
      <c r="D31" s="121">
        <v>0</v>
      </c>
      <c r="E31" s="121">
        <v>0.23707500880148194</v>
      </c>
      <c r="F31" s="121">
        <v>6.0709000852798436</v>
      </c>
      <c r="G31" s="121">
        <v>76.232963506867875</v>
      </c>
      <c r="H31" s="121">
        <v>256.69965822357238</v>
      </c>
      <c r="I31" s="121">
        <v>198.09379857424358</v>
      </c>
      <c r="J31" s="121">
        <v>5.5942703351488019</v>
      </c>
      <c r="K31" s="122">
        <v>0</v>
      </c>
      <c r="L31" s="122">
        <v>0</v>
      </c>
      <c r="M31" s="122">
        <v>0.19678584663917481</v>
      </c>
      <c r="N31" s="122">
        <v>4.1029113718729855</v>
      </c>
      <c r="O31" s="122">
        <v>31.271464985055346</v>
      </c>
      <c r="P31" s="122">
        <v>35.306627769067504</v>
      </c>
      <c r="Q31" s="122">
        <v>18.73568616788107</v>
      </c>
      <c r="R31" s="122">
        <v>0.31028454946716522</v>
      </c>
      <c r="S31" s="130"/>
    </row>
    <row r="32" spans="1:21">
      <c r="A32" s="120">
        <v>53</v>
      </c>
      <c r="B32" s="123">
        <v>36.952181663513102</v>
      </c>
      <c r="C32" s="121">
        <v>0</v>
      </c>
      <c r="D32" s="121">
        <v>0</v>
      </c>
      <c r="E32" s="121">
        <v>0</v>
      </c>
      <c r="F32" s="121">
        <v>0.66367442204160543</v>
      </c>
      <c r="G32" s="121">
        <v>20.825070273044414</v>
      </c>
      <c r="H32" s="121">
        <v>165.26032373522952</v>
      </c>
      <c r="I32" s="121">
        <v>287.82114471804664</v>
      </c>
      <c r="J32" s="121">
        <v>122.05521100983312</v>
      </c>
      <c r="K32" s="122">
        <v>0</v>
      </c>
      <c r="L32" s="122">
        <v>0</v>
      </c>
      <c r="M32" s="122">
        <v>0</v>
      </c>
      <c r="N32" s="122">
        <v>0.59203952806148086</v>
      </c>
      <c r="O32" s="122">
        <v>12.176128031148773</v>
      </c>
      <c r="P32" s="122">
        <v>42.041761478601117</v>
      </c>
      <c r="Q32" s="122">
        <v>24.773670763724446</v>
      </c>
      <c r="R32" s="122">
        <v>8.7148823744689121</v>
      </c>
      <c r="S32" s="130"/>
    </row>
    <row r="33" spans="1:21">
      <c r="A33" s="120">
        <v>59</v>
      </c>
      <c r="B33" s="123">
        <v>39.9346520767211</v>
      </c>
      <c r="C33" s="121">
        <v>0</v>
      </c>
      <c r="D33" s="121">
        <v>0</v>
      </c>
      <c r="E33" s="121">
        <v>0</v>
      </c>
      <c r="F33" s="121">
        <v>0</v>
      </c>
      <c r="G33" s="121">
        <v>2.8088996653113014</v>
      </c>
      <c r="H33" s="121">
        <v>54.443977507338126</v>
      </c>
      <c r="I33" s="121">
        <v>276.44534796658633</v>
      </c>
      <c r="J33" s="121">
        <v>314.55434845236795</v>
      </c>
      <c r="K33" s="122">
        <v>0</v>
      </c>
      <c r="L33" s="122">
        <v>0</v>
      </c>
      <c r="M33" s="122">
        <v>0</v>
      </c>
      <c r="N33" s="122">
        <v>0</v>
      </c>
      <c r="O33" s="122">
        <v>2.0229442965816635</v>
      </c>
      <c r="P33" s="122">
        <v>24.019815926415156</v>
      </c>
      <c r="Q33" s="122">
        <v>42.240254233774017</v>
      </c>
      <c r="R33" s="122">
        <v>18.881918331219143</v>
      </c>
      <c r="S33" s="130"/>
      <c r="U33" s="110"/>
    </row>
    <row r="34" spans="1:21">
      <c r="A34" s="120">
        <v>65</v>
      </c>
      <c r="B34" s="123">
        <v>42.7109277954101</v>
      </c>
      <c r="C34" s="121">
        <v>0</v>
      </c>
      <c r="D34" s="121">
        <v>0</v>
      </c>
      <c r="E34" s="121">
        <v>0</v>
      </c>
      <c r="F34" s="121">
        <v>0</v>
      </c>
      <c r="G34" s="121">
        <v>0</v>
      </c>
      <c r="H34" s="121">
        <v>11.983604584020963</v>
      </c>
      <c r="I34" s="121">
        <v>140.16529070565039</v>
      </c>
      <c r="J34" s="121">
        <v>545.07474525614623</v>
      </c>
      <c r="K34" s="122">
        <v>0</v>
      </c>
      <c r="L34" s="122">
        <v>0</v>
      </c>
      <c r="M34" s="122">
        <v>0</v>
      </c>
      <c r="N34" s="122">
        <v>0</v>
      </c>
      <c r="O34" s="122">
        <v>0</v>
      </c>
      <c r="P34" s="122">
        <v>5.0942593141690828</v>
      </c>
      <c r="Q34" s="122">
        <v>41.636488470784279</v>
      </c>
      <c r="R34" s="122">
        <v>39.354037423322843</v>
      </c>
      <c r="S34" s="130"/>
      <c r="U34" s="110"/>
    </row>
    <row r="35" spans="1:21">
      <c r="A35" s="120">
        <v>71</v>
      </c>
      <c r="B35" s="123">
        <v>45.2915352592468</v>
      </c>
      <c r="C35" s="121">
        <v>0</v>
      </c>
      <c r="D35" s="121">
        <v>0</v>
      </c>
      <c r="E35" s="121">
        <v>0</v>
      </c>
      <c r="F35" s="121">
        <v>0</v>
      </c>
      <c r="G35" s="121">
        <v>0</v>
      </c>
      <c r="H35" s="121">
        <v>1.8662813977642929</v>
      </c>
      <c r="I35" s="121">
        <v>37.523315493586011</v>
      </c>
      <c r="J35" s="121">
        <v>704.32980992088403</v>
      </c>
      <c r="K35" s="122">
        <v>0</v>
      </c>
      <c r="L35" s="122">
        <v>0</v>
      </c>
      <c r="M35" s="122">
        <v>0</v>
      </c>
      <c r="N35" s="122">
        <v>0</v>
      </c>
      <c r="O35" s="122">
        <v>0</v>
      </c>
      <c r="P35" s="122">
        <v>1.6266777175246256</v>
      </c>
      <c r="Q35" s="122">
        <v>18.156986779007536</v>
      </c>
      <c r="R35" s="122">
        <v>63.988541966026006</v>
      </c>
      <c r="S35" s="130"/>
      <c r="U35" s="110"/>
    </row>
    <row r="36" spans="1:21">
      <c r="A36" s="120">
        <v>77</v>
      </c>
      <c r="B36" s="123">
        <v>47.694570224761897</v>
      </c>
      <c r="C36" s="121">
        <v>0</v>
      </c>
      <c r="D36" s="121">
        <v>0</v>
      </c>
      <c r="E36" s="121">
        <v>0</v>
      </c>
      <c r="F36" s="121">
        <v>0</v>
      </c>
      <c r="G36" s="121">
        <v>0</v>
      </c>
      <c r="H36" s="121">
        <v>0</v>
      </c>
      <c r="I36" s="121">
        <v>5.6274806854842501</v>
      </c>
      <c r="J36" s="121">
        <v>783.30976959071688</v>
      </c>
      <c r="K36" s="122">
        <v>0</v>
      </c>
      <c r="L36" s="122">
        <v>0</v>
      </c>
      <c r="M36" s="122">
        <v>0</v>
      </c>
      <c r="N36" s="122">
        <v>0</v>
      </c>
      <c r="O36" s="122">
        <v>0</v>
      </c>
      <c r="P36" s="122">
        <v>0</v>
      </c>
      <c r="Q36" s="122">
        <v>3.8325955885547147</v>
      </c>
      <c r="R36" s="122">
        <v>78.737683594423444</v>
      </c>
      <c r="S36" s="130"/>
      <c r="U36" s="110"/>
    </row>
    <row r="37" spans="1:21">
      <c r="A37" s="120">
        <v>83</v>
      </c>
      <c r="B37" s="119">
        <v>49.918650207519498</v>
      </c>
      <c r="C37" s="117">
        <v>0</v>
      </c>
      <c r="D37" s="117">
        <v>0</v>
      </c>
      <c r="E37" s="117">
        <v>0</v>
      </c>
      <c r="F37" s="117">
        <v>0</v>
      </c>
      <c r="G37" s="117">
        <v>0</v>
      </c>
      <c r="H37" s="117">
        <v>0</v>
      </c>
      <c r="I37" s="117">
        <v>0</v>
      </c>
      <c r="J37" s="117">
        <v>833.42733789185093</v>
      </c>
      <c r="K37" s="118">
        <v>0</v>
      </c>
      <c r="L37" s="118">
        <v>0</v>
      </c>
      <c r="M37" s="118">
        <v>0</v>
      </c>
      <c r="N37" s="118">
        <v>0</v>
      </c>
      <c r="O37" s="118">
        <v>0</v>
      </c>
      <c r="P37" s="118">
        <v>0</v>
      </c>
      <c r="Q37" s="118">
        <v>0</v>
      </c>
      <c r="R37" s="118">
        <v>833.42733789185093</v>
      </c>
      <c r="S37" s="130"/>
      <c r="U37" s="110"/>
    </row>
    <row r="38" spans="1:21" s="114" customFormat="1">
      <c r="A38" s="115" t="s">
        <v>206</v>
      </c>
      <c r="B38" s="116" t="s">
        <v>205</v>
      </c>
      <c r="C38" s="116" t="s">
        <v>205</v>
      </c>
      <c r="D38" s="116" t="s">
        <v>205</v>
      </c>
      <c r="E38" s="116" t="s">
        <v>205</v>
      </c>
      <c r="F38" s="116" t="s">
        <v>205</v>
      </c>
      <c r="G38" s="116" t="s">
        <v>205</v>
      </c>
      <c r="H38" s="116" t="s">
        <v>205</v>
      </c>
      <c r="I38" s="116" t="s">
        <v>205</v>
      </c>
      <c r="J38" s="116" t="s">
        <v>205</v>
      </c>
      <c r="K38" s="115">
        <v>16.53091850353541</v>
      </c>
      <c r="L38" s="115">
        <v>71.590835652770636</v>
      </c>
      <c r="M38" s="115">
        <v>40.870298695759047</v>
      </c>
      <c r="N38" s="115">
        <v>77.641948700472156</v>
      </c>
      <c r="O38" s="115">
        <v>140.17059315097364</v>
      </c>
      <c r="P38" s="115">
        <v>143.57520207727879</v>
      </c>
      <c r="Q38" s="115">
        <v>156.76580273748559</v>
      </c>
      <c r="R38" s="115">
        <v>1043.4146861307784</v>
      </c>
    </row>
    <row r="39" spans="1:21">
      <c r="A39" s="110"/>
    </row>
  </sheetData>
  <mergeCells count="10">
    <mergeCell ref="O7:T7"/>
    <mergeCell ref="A24:A25"/>
    <mergeCell ref="A7:A8"/>
    <mergeCell ref="B7:B8"/>
    <mergeCell ref="C7:F7"/>
    <mergeCell ref="G7:J7"/>
    <mergeCell ref="K7:N7"/>
    <mergeCell ref="B24:B25"/>
    <mergeCell ref="C24:J24"/>
    <mergeCell ref="K24:R24"/>
  </mergeCells>
  <pageMargins left="0.70866141732283472" right="0.70866141732283472" top="0.74803149606299213" bottom="0.74803149606299213" header="0.31496062992125984" footer="0.31496062992125984"/>
  <pageSetup paperSize="9" scale="84"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13"/>
  <sheetViews>
    <sheetView workbookViewId="0">
      <selection activeCell="G12" sqref="G12"/>
    </sheetView>
  </sheetViews>
  <sheetFormatPr baseColWidth="10" defaultRowHeight="12.75"/>
  <sheetData>
    <row r="1" spans="1:8">
      <c r="A1" s="2" t="s">
        <v>68</v>
      </c>
    </row>
    <row r="3" spans="1:8">
      <c r="A3" s="50" t="s">
        <v>79</v>
      </c>
    </row>
    <row r="5" spans="1:8">
      <c r="A5" s="73" t="s">
        <v>248</v>
      </c>
      <c r="B5" s="37" t="s">
        <v>13</v>
      </c>
      <c r="C5" s="38" t="s">
        <v>14</v>
      </c>
      <c r="D5" t="s">
        <v>338</v>
      </c>
    </row>
    <row r="6" spans="1:8">
      <c r="A6" s="141">
        <v>20</v>
      </c>
      <c r="B6" s="60" t="s">
        <v>80</v>
      </c>
      <c r="C6" s="58">
        <v>10</v>
      </c>
      <c r="D6">
        <f>A6/PI()</f>
        <v>6.366197723675814</v>
      </c>
      <c r="H6" s="21"/>
    </row>
    <row r="7" spans="1:8">
      <c r="A7" s="141">
        <v>40</v>
      </c>
      <c r="B7" s="61" t="s">
        <v>81</v>
      </c>
      <c r="C7" s="55">
        <v>25</v>
      </c>
      <c r="D7">
        <f t="shared" ref="D7:D13" si="0">A7/PI()</f>
        <v>12.732395447351628</v>
      </c>
      <c r="H7" s="21"/>
    </row>
    <row r="8" spans="1:8">
      <c r="A8" s="141">
        <v>60</v>
      </c>
      <c r="B8" s="61" t="s">
        <v>82</v>
      </c>
      <c r="C8" s="55">
        <v>35</v>
      </c>
      <c r="D8">
        <f t="shared" si="0"/>
        <v>19.098593171027442</v>
      </c>
      <c r="H8" s="21"/>
    </row>
    <row r="9" spans="1:8">
      <c r="A9" s="14">
        <v>70</v>
      </c>
      <c r="B9" s="61" t="s">
        <v>83</v>
      </c>
      <c r="C9" s="55">
        <v>55</v>
      </c>
      <c r="D9">
        <f t="shared" si="0"/>
        <v>22.281692032865347</v>
      </c>
      <c r="H9" s="21"/>
    </row>
    <row r="10" spans="1:8">
      <c r="A10" s="14">
        <v>90</v>
      </c>
      <c r="B10" s="61" t="s">
        <v>84</v>
      </c>
      <c r="C10" s="55">
        <v>72</v>
      </c>
      <c r="D10">
        <f t="shared" si="0"/>
        <v>28.647889756541161</v>
      </c>
      <c r="H10" s="21"/>
    </row>
    <row r="11" spans="1:8">
      <c r="A11" s="14">
        <v>120</v>
      </c>
      <c r="B11" s="61" t="s">
        <v>85</v>
      </c>
      <c r="C11" s="55">
        <v>81</v>
      </c>
      <c r="D11">
        <f t="shared" si="0"/>
        <v>38.197186342054884</v>
      </c>
      <c r="H11" s="21"/>
    </row>
    <row r="12" spans="1:8">
      <c r="A12" s="14">
        <v>150</v>
      </c>
      <c r="B12" s="61" t="s">
        <v>15</v>
      </c>
      <c r="C12" s="55">
        <v>83</v>
      </c>
      <c r="D12">
        <f t="shared" si="0"/>
        <v>47.7464829275686</v>
      </c>
      <c r="H12" s="16"/>
    </row>
    <row r="13" spans="1:8">
      <c r="A13" s="14">
        <v>180</v>
      </c>
      <c r="B13" s="62" t="s">
        <v>16</v>
      </c>
      <c r="C13" s="59">
        <v>85</v>
      </c>
      <c r="D13">
        <f t="shared" si="0"/>
        <v>57.295779513082323</v>
      </c>
    </row>
  </sheetData>
  <phoneticPr fontId="4"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S92"/>
  <sheetViews>
    <sheetView workbookViewId="0">
      <selection activeCell="N20" sqref="N20"/>
    </sheetView>
  </sheetViews>
  <sheetFormatPr baseColWidth="10" defaultRowHeight="12.75"/>
  <cols>
    <col min="1" max="10" width="11.42578125" style="4"/>
  </cols>
  <sheetData>
    <row r="1" spans="1:13">
      <c r="A1" s="56" t="s">
        <v>78</v>
      </c>
    </row>
    <row r="2" spans="1:13">
      <c r="A2" s="57" t="s">
        <v>21</v>
      </c>
    </row>
    <row r="3" spans="1:13" ht="13.5" thickBot="1">
      <c r="A3" s="73"/>
      <c r="B3" s="73"/>
      <c r="C3" s="73"/>
      <c r="D3" s="73"/>
      <c r="E3" s="73"/>
      <c r="F3" s="73"/>
      <c r="G3" s="73"/>
      <c r="H3" s="73"/>
      <c r="I3" s="73"/>
      <c r="J3" s="74"/>
    </row>
    <row r="4" spans="1:13" s="18" customFormat="1">
      <c r="A4" s="75"/>
      <c r="B4" s="76"/>
      <c r="C4" s="77"/>
      <c r="D4" s="77"/>
      <c r="E4" s="77"/>
      <c r="F4" s="77"/>
      <c r="G4" s="78"/>
      <c r="H4" s="78"/>
      <c r="I4" s="78"/>
      <c r="J4" s="79"/>
      <c r="M4" s="80"/>
    </row>
    <row r="5" spans="1:13" s="18" customFormat="1">
      <c r="A5" s="81" t="s">
        <v>33</v>
      </c>
      <c r="B5" s="82" t="s">
        <v>34</v>
      </c>
      <c r="C5" s="83" t="s">
        <v>37</v>
      </c>
      <c r="D5" s="84" t="s">
        <v>38</v>
      </c>
      <c r="E5" s="84" t="s">
        <v>39</v>
      </c>
      <c r="F5" s="84" t="s">
        <v>40</v>
      </c>
      <c r="G5" s="84" t="s">
        <v>41</v>
      </c>
      <c r="H5" s="84" t="s">
        <v>42</v>
      </c>
      <c r="I5" s="84" t="s">
        <v>43</v>
      </c>
      <c r="J5" s="85" t="s">
        <v>16</v>
      </c>
      <c r="M5" s="80"/>
    </row>
    <row r="6" spans="1:13" s="18" customFormat="1" ht="13.5" thickBot="1">
      <c r="A6" s="86" t="s">
        <v>35</v>
      </c>
      <c r="B6" s="87" t="s">
        <v>35</v>
      </c>
      <c r="C6" s="88">
        <v>39</v>
      </c>
      <c r="D6" s="89">
        <v>59</v>
      </c>
      <c r="E6" s="83">
        <v>69</v>
      </c>
      <c r="F6" s="83">
        <v>89</v>
      </c>
      <c r="G6" s="83">
        <v>119</v>
      </c>
      <c r="H6" s="83">
        <v>149</v>
      </c>
      <c r="I6" s="83">
        <v>179</v>
      </c>
      <c r="J6" s="90"/>
      <c r="M6" s="80"/>
    </row>
    <row r="7" spans="1:13">
      <c r="A7" s="91">
        <v>24</v>
      </c>
      <c r="B7" s="92">
        <v>25</v>
      </c>
      <c r="C7" s="93">
        <v>947</v>
      </c>
      <c r="D7" s="73">
        <v>53</v>
      </c>
      <c r="E7" s="78">
        <v>0</v>
      </c>
      <c r="F7" s="78">
        <v>0</v>
      </c>
      <c r="G7" s="78">
        <v>0</v>
      </c>
      <c r="H7" s="78">
        <v>0</v>
      </c>
      <c r="I7" s="78">
        <v>0</v>
      </c>
      <c r="J7" s="94">
        <v>0</v>
      </c>
      <c r="M7" s="21"/>
    </row>
    <row r="8" spans="1:13">
      <c r="A8" s="91">
        <v>26</v>
      </c>
      <c r="B8" s="95">
        <v>27</v>
      </c>
      <c r="C8" s="93">
        <v>882</v>
      </c>
      <c r="D8" s="93">
        <v>118</v>
      </c>
      <c r="E8" s="93">
        <v>0</v>
      </c>
      <c r="F8" s="93">
        <v>0</v>
      </c>
      <c r="G8" s="93">
        <v>0</v>
      </c>
      <c r="H8" s="93">
        <v>0</v>
      </c>
      <c r="I8" s="93">
        <v>0</v>
      </c>
      <c r="J8" s="94">
        <v>0</v>
      </c>
      <c r="M8" s="21"/>
    </row>
    <row r="9" spans="1:13">
      <c r="A9" s="91">
        <v>28</v>
      </c>
      <c r="B9" s="95">
        <v>29</v>
      </c>
      <c r="C9" s="93">
        <v>792</v>
      </c>
      <c r="D9" s="93">
        <v>208</v>
      </c>
      <c r="E9" s="93">
        <v>0</v>
      </c>
      <c r="F9" s="93">
        <v>0</v>
      </c>
      <c r="G9" s="93">
        <v>0</v>
      </c>
      <c r="H9" s="93">
        <v>0</v>
      </c>
      <c r="I9" s="93">
        <v>0</v>
      </c>
      <c r="J9" s="94">
        <v>0</v>
      </c>
      <c r="M9" s="21"/>
    </row>
    <row r="10" spans="1:13">
      <c r="A10" s="91">
        <v>30</v>
      </c>
      <c r="B10" s="95">
        <v>31</v>
      </c>
      <c r="C10" s="93">
        <v>684</v>
      </c>
      <c r="D10" s="93">
        <v>314</v>
      </c>
      <c r="E10" s="93">
        <v>2</v>
      </c>
      <c r="F10" s="93">
        <v>0</v>
      </c>
      <c r="G10" s="93">
        <v>0</v>
      </c>
      <c r="H10" s="93">
        <v>0</v>
      </c>
      <c r="I10" s="93">
        <v>0</v>
      </c>
      <c r="J10" s="94">
        <v>0</v>
      </c>
      <c r="M10" s="21"/>
    </row>
    <row r="11" spans="1:13">
      <c r="A11" s="91">
        <v>32</v>
      </c>
      <c r="B11" s="95">
        <v>33</v>
      </c>
      <c r="C11" s="93">
        <v>572</v>
      </c>
      <c r="D11" s="93">
        <v>422</v>
      </c>
      <c r="E11" s="93">
        <v>6</v>
      </c>
      <c r="F11" s="93">
        <v>0</v>
      </c>
      <c r="G11" s="93">
        <v>0</v>
      </c>
      <c r="H11" s="93">
        <v>0</v>
      </c>
      <c r="I11" s="93">
        <v>0</v>
      </c>
      <c r="J11" s="94">
        <v>0</v>
      </c>
      <c r="M11" s="14"/>
    </row>
    <row r="12" spans="1:13">
      <c r="A12" s="91">
        <v>34</v>
      </c>
      <c r="B12" s="95">
        <v>35</v>
      </c>
      <c r="C12" s="93">
        <v>466</v>
      </c>
      <c r="D12" s="93">
        <v>517</v>
      </c>
      <c r="E12" s="93">
        <v>17</v>
      </c>
      <c r="F12" s="93">
        <v>0</v>
      </c>
      <c r="G12" s="93">
        <v>0</v>
      </c>
      <c r="H12" s="93">
        <v>0</v>
      </c>
      <c r="I12" s="93">
        <v>0</v>
      </c>
      <c r="J12" s="94">
        <v>0</v>
      </c>
    </row>
    <row r="13" spans="1:13">
      <c r="A13" s="91">
        <v>36</v>
      </c>
      <c r="B13" s="95">
        <v>37</v>
      </c>
      <c r="C13" s="93">
        <v>372</v>
      </c>
      <c r="D13" s="93">
        <v>593</v>
      </c>
      <c r="E13" s="93">
        <v>33</v>
      </c>
      <c r="F13" s="93">
        <v>2</v>
      </c>
      <c r="G13" s="93">
        <v>0</v>
      </c>
      <c r="H13" s="93">
        <v>0</v>
      </c>
      <c r="I13" s="93">
        <v>0</v>
      </c>
      <c r="J13" s="94">
        <v>0</v>
      </c>
    </row>
    <row r="14" spans="1:13">
      <c r="A14" s="91">
        <v>38</v>
      </c>
      <c r="B14" s="95">
        <v>39</v>
      </c>
      <c r="C14" s="93">
        <v>292</v>
      </c>
      <c r="D14" s="93">
        <v>642</v>
      </c>
      <c r="E14" s="93">
        <v>59</v>
      </c>
      <c r="F14" s="93">
        <v>7</v>
      </c>
      <c r="G14" s="93">
        <v>0</v>
      </c>
      <c r="H14" s="93">
        <v>0</v>
      </c>
      <c r="I14" s="93">
        <v>0</v>
      </c>
      <c r="J14" s="94">
        <v>0</v>
      </c>
    </row>
    <row r="15" spans="1:13">
      <c r="A15" s="91">
        <v>40</v>
      </c>
      <c r="B15" s="95">
        <v>41</v>
      </c>
      <c r="C15" s="93">
        <v>226</v>
      </c>
      <c r="D15" s="93">
        <v>666</v>
      </c>
      <c r="E15" s="93">
        <v>94</v>
      </c>
      <c r="F15" s="93">
        <v>14</v>
      </c>
      <c r="G15" s="93">
        <v>0</v>
      </c>
      <c r="H15" s="93">
        <v>0</v>
      </c>
      <c r="I15" s="93">
        <v>0</v>
      </c>
      <c r="J15" s="94">
        <v>0</v>
      </c>
    </row>
    <row r="16" spans="1:13">
      <c r="A16" s="91">
        <v>42</v>
      </c>
      <c r="B16" s="95">
        <v>43</v>
      </c>
      <c r="C16" s="93">
        <v>173</v>
      </c>
      <c r="D16" s="93">
        <v>664</v>
      </c>
      <c r="E16" s="93">
        <v>137</v>
      </c>
      <c r="F16" s="93">
        <v>26</v>
      </c>
      <c r="G16" s="93">
        <v>0</v>
      </c>
      <c r="H16" s="93">
        <v>0</v>
      </c>
      <c r="I16" s="93">
        <v>0</v>
      </c>
      <c r="J16" s="94">
        <v>0</v>
      </c>
    </row>
    <row r="17" spans="1:10">
      <c r="A17" s="91">
        <v>44</v>
      </c>
      <c r="B17" s="95">
        <v>45</v>
      </c>
      <c r="C17" s="93">
        <v>133</v>
      </c>
      <c r="D17" s="93">
        <v>640</v>
      </c>
      <c r="E17" s="93">
        <v>178</v>
      </c>
      <c r="F17" s="93">
        <v>49</v>
      </c>
      <c r="G17" s="93">
        <v>0</v>
      </c>
      <c r="H17" s="93">
        <v>0</v>
      </c>
      <c r="I17" s="93">
        <v>0</v>
      </c>
      <c r="J17" s="94">
        <v>0</v>
      </c>
    </row>
    <row r="18" spans="1:10">
      <c r="A18" s="91">
        <v>46</v>
      </c>
      <c r="B18" s="95">
        <v>47</v>
      </c>
      <c r="C18" s="93">
        <v>100</v>
      </c>
      <c r="D18" s="93">
        <v>603</v>
      </c>
      <c r="E18" s="93">
        <v>218</v>
      </c>
      <c r="F18" s="93">
        <v>79</v>
      </c>
      <c r="G18" s="93">
        <v>0</v>
      </c>
      <c r="H18" s="93">
        <v>0</v>
      </c>
      <c r="I18" s="93">
        <v>0</v>
      </c>
      <c r="J18" s="94">
        <v>0</v>
      </c>
    </row>
    <row r="19" spans="1:10">
      <c r="A19" s="91">
        <v>48</v>
      </c>
      <c r="B19" s="95">
        <v>49</v>
      </c>
      <c r="C19" s="93">
        <v>75</v>
      </c>
      <c r="D19" s="93">
        <v>555</v>
      </c>
      <c r="E19" s="93">
        <v>251</v>
      </c>
      <c r="F19" s="93">
        <v>116</v>
      </c>
      <c r="G19" s="93">
        <v>3</v>
      </c>
      <c r="H19" s="93">
        <v>0</v>
      </c>
      <c r="I19" s="93">
        <v>0</v>
      </c>
      <c r="J19" s="94">
        <v>0</v>
      </c>
    </row>
    <row r="20" spans="1:10">
      <c r="A20" s="91">
        <v>50</v>
      </c>
      <c r="B20" s="95">
        <v>51</v>
      </c>
      <c r="C20" s="93">
        <v>56</v>
      </c>
      <c r="D20" s="93">
        <v>502</v>
      </c>
      <c r="E20" s="93">
        <v>276</v>
      </c>
      <c r="F20" s="93">
        <v>160</v>
      </c>
      <c r="G20" s="93">
        <v>6</v>
      </c>
      <c r="H20" s="93">
        <v>0</v>
      </c>
      <c r="I20" s="93">
        <v>0</v>
      </c>
      <c r="J20" s="94">
        <v>0</v>
      </c>
    </row>
    <row r="21" spans="1:10">
      <c r="A21" s="91">
        <v>52</v>
      </c>
      <c r="B21" s="95">
        <v>53</v>
      </c>
      <c r="C21" s="93">
        <v>42</v>
      </c>
      <c r="D21" s="93">
        <v>446</v>
      </c>
      <c r="E21" s="93">
        <v>291</v>
      </c>
      <c r="F21" s="93">
        <v>212</v>
      </c>
      <c r="G21" s="93">
        <v>9</v>
      </c>
      <c r="H21" s="93">
        <v>0</v>
      </c>
      <c r="I21" s="93">
        <v>0</v>
      </c>
      <c r="J21" s="94">
        <v>0</v>
      </c>
    </row>
    <row r="22" spans="1:10">
      <c r="A22" s="91">
        <v>54</v>
      </c>
      <c r="B22" s="95">
        <v>56</v>
      </c>
      <c r="C22" s="93">
        <v>31</v>
      </c>
      <c r="D22" s="93">
        <v>391</v>
      </c>
      <c r="E22" s="93">
        <v>296</v>
      </c>
      <c r="F22" s="93">
        <v>263</v>
      </c>
      <c r="G22" s="93">
        <v>19</v>
      </c>
      <c r="H22" s="93">
        <v>0</v>
      </c>
      <c r="I22" s="93">
        <v>0</v>
      </c>
      <c r="J22" s="94">
        <v>0</v>
      </c>
    </row>
    <row r="23" spans="1:10">
      <c r="A23" s="91">
        <v>56</v>
      </c>
      <c r="B23" s="95">
        <v>58</v>
      </c>
      <c r="C23" s="93">
        <v>23</v>
      </c>
      <c r="D23" s="93">
        <v>339</v>
      </c>
      <c r="E23" s="93">
        <v>294</v>
      </c>
      <c r="F23" s="93">
        <v>314</v>
      </c>
      <c r="G23" s="93">
        <v>30</v>
      </c>
      <c r="H23" s="93">
        <v>0</v>
      </c>
      <c r="I23" s="93">
        <v>0</v>
      </c>
      <c r="J23" s="94">
        <v>0</v>
      </c>
    </row>
    <row r="24" spans="1:10">
      <c r="A24" s="91">
        <v>58</v>
      </c>
      <c r="B24" s="95">
        <v>60</v>
      </c>
      <c r="C24" s="93">
        <v>16</v>
      </c>
      <c r="D24" s="93">
        <v>293</v>
      </c>
      <c r="E24" s="93">
        <v>284</v>
      </c>
      <c r="F24" s="93">
        <v>359</v>
      </c>
      <c r="G24" s="93">
        <v>48</v>
      </c>
      <c r="H24" s="93">
        <v>0</v>
      </c>
      <c r="I24" s="93">
        <v>0</v>
      </c>
      <c r="J24" s="94">
        <v>0</v>
      </c>
    </row>
    <row r="25" spans="1:10">
      <c r="A25" s="91">
        <v>60</v>
      </c>
      <c r="B25" s="95">
        <v>62</v>
      </c>
      <c r="C25" s="93">
        <v>12</v>
      </c>
      <c r="D25" s="93">
        <v>249</v>
      </c>
      <c r="E25" s="93">
        <v>271</v>
      </c>
      <c r="F25" s="93">
        <v>398</v>
      </c>
      <c r="G25" s="93">
        <v>70</v>
      </c>
      <c r="H25" s="93">
        <v>0</v>
      </c>
      <c r="I25" s="93">
        <v>0</v>
      </c>
      <c r="J25" s="94">
        <v>0</v>
      </c>
    </row>
    <row r="26" spans="1:10">
      <c r="A26" s="91">
        <v>62</v>
      </c>
      <c r="B26" s="95">
        <v>64</v>
      </c>
      <c r="C26" s="93">
        <v>9</v>
      </c>
      <c r="D26" s="93">
        <v>212</v>
      </c>
      <c r="E26" s="93">
        <v>250</v>
      </c>
      <c r="F26" s="93">
        <v>430</v>
      </c>
      <c r="G26" s="93">
        <v>99</v>
      </c>
      <c r="H26" s="93">
        <v>0</v>
      </c>
      <c r="I26" s="93">
        <v>0</v>
      </c>
      <c r="J26" s="94">
        <v>0</v>
      </c>
    </row>
    <row r="27" spans="1:10">
      <c r="A27" s="91">
        <v>64</v>
      </c>
      <c r="B27" s="95">
        <v>66</v>
      </c>
      <c r="C27" s="93">
        <v>6</v>
      </c>
      <c r="D27" s="93">
        <v>178</v>
      </c>
      <c r="E27" s="93">
        <v>233</v>
      </c>
      <c r="F27" s="93">
        <v>451</v>
      </c>
      <c r="G27" s="93">
        <v>132</v>
      </c>
      <c r="H27" s="93">
        <v>0</v>
      </c>
      <c r="I27" s="93">
        <v>0</v>
      </c>
      <c r="J27" s="94">
        <v>0</v>
      </c>
    </row>
    <row r="28" spans="1:10">
      <c r="A28" s="91">
        <v>66</v>
      </c>
      <c r="B28" s="95">
        <v>68</v>
      </c>
      <c r="C28" s="93">
        <v>4</v>
      </c>
      <c r="D28" s="93">
        <v>150</v>
      </c>
      <c r="E28" s="93">
        <v>210</v>
      </c>
      <c r="F28" s="93">
        <v>463</v>
      </c>
      <c r="G28" s="93">
        <v>173</v>
      </c>
      <c r="H28" s="93">
        <v>0</v>
      </c>
      <c r="I28" s="93">
        <v>0</v>
      </c>
      <c r="J28" s="94">
        <v>0</v>
      </c>
    </row>
    <row r="29" spans="1:10">
      <c r="A29" s="91">
        <v>68</v>
      </c>
      <c r="B29" s="95">
        <v>70</v>
      </c>
      <c r="C29" s="93">
        <v>3</v>
      </c>
      <c r="D29" s="93">
        <v>125</v>
      </c>
      <c r="E29" s="93">
        <v>190</v>
      </c>
      <c r="F29" s="93">
        <v>468</v>
      </c>
      <c r="G29" s="93">
        <v>210</v>
      </c>
      <c r="H29" s="93">
        <v>4</v>
      </c>
      <c r="I29" s="93">
        <v>0</v>
      </c>
      <c r="J29" s="94">
        <v>0</v>
      </c>
    </row>
    <row r="30" spans="1:10">
      <c r="A30" s="91">
        <v>70</v>
      </c>
      <c r="B30" s="95">
        <v>72</v>
      </c>
      <c r="C30" s="93">
        <v>2</v>
      </c>
      <c r="D30" s="93">
        <v>104</v>
      </c>
      <c r="E30" s="93">
        <v>170</v>
      </c>
      <c r="F30" s="93">
        <v>463</v>
      </c>
      <c r="G30" s="93">
        <v>252</v>
      </c>
      <c r="H30" s="93">
        <v>9</v>
      </c>
      <c r="I30" s="93">
        <v>0</v>
      </c>
      <c r="J30" s="94">
        <v>0</v>
      </c>
    </row>
    <row r="31" spans="1:10">
      <c r="A31" s="91">
        <v>72</v>
      </c>
      <c r="B31" s="95">
        <v>74</v>
      </c>
      <c r="C31" s="93">
        <v>1</v>
      </c>
      <c r="D31" s="93">
        <v>87</v>
      </c>
      <c r="E31" s="93">
        <v>151</v>
      </c>
      <c r="F31" s="93">
        <v>452</v>
      </c>
      <c r="G31" s="93">
        <v>296</v>
      </c>
      <c r="H31" s="93">
        <v>13</v>
      </c>
      <c r="I31" s="93">
        <v>0</v>
      </c>
      <c r="J31" s="94">
        <v>0</v>
      </c>
    </row>
    <row r="32" spans="1:10">
      <c r="A32" s="91">
        <v>74</v>
      </c>
      <c r="B32" s="95">
        <v>76</v>
      </c>
      <c r="C32" s="93">
        <v>1</v>
      </c>
      <c r="D32" s="93">
        <v>72</v>
      </c>
      <c r="E32" s="93">
        <v>133</v>
      </c>
      <c r="F32" s="93">
        <v>435</v>
      </c>
      <c r="G32" s="93">
        <v>337</v>
      </c>
      <c r="H32" s="93">
        <v>22</v>
      </c>
      <c r="I32" s="93">
        <v>0</v>
      </c>
      <c r="J32" s="94">
        <v>0</v>
      </c>
    </row>
    <row r="33" spans="1:10">
      <c r="A33" s="91">
        <v>76</v>
      </c>
      <c r="B33" s="95">
        <v>78</v>
      </c>
      <c r="C33" s="93">
        <v>1</v>
      </c>
      <c r="D33" s="93">
        <v>59</v>
      </c>
      <c r="E33" s="93">
        <v>117</v>
      </c>
      <c r="F33" s="93">
        <v>416</v>
      </c>
      <c r="G33" s="93">
        <v>377</v>
      </c>
      <c r="H33" s="93">
        <v>30</v>
      </c>
      <c r="I33" s="93">
        <v>0</v>
      </c>
      <c r="J33" s="94">
        <v>0</v>
      </c>
    </row>
    <row r="34" spans="1:10">
      <c r="A34" s="91">
        <v>78</v>
      </c>
      <c r="B34" s="95">
        <v>80</v>
      </c>
      <c r="C34" s="93">
        <v>0</v>
      </c>
      <c r="D34" s="93">
        <v>48</v>
      </c>
      <c r="E34" s="93">
        <v>102</v>
      </c>
      <c r="F34" s="93">
        <v>393</v>
      </c>
      <c r="G34" s="93">
        <v>415</v>
      </c>
      <c r="H34" s="93">
        <v>42</v>
      </c>
      <c r="I34" s="93">
        <v>0</v>
      </c>
      <c r="J34" s="94">
        <v>0</v>
      </c>
    </row>
    <row r="35" spans="1:10">
      <c r="A35" s="91">
        <v>80</v>
      </c>
      <c r="B35" s="95">
        <v>82</v>
      </c>
      <c r="C35" s="93">
        <v>0</v>
      </c>
      <c r="D35" s="93">
        <v>39</v>
      </c>
      <c r="E35" s="93">
        <v>89</v>
      </c>
      <c r="F35" s="93">
        <v>371</v>
      </c>
      <c r="G35" s="93">
        <v>447</v>
      </c>
      <c r="H35" s="93">
        <v>54</v>
      </c>
      <c r="I35" s="93">
        <v>0</v>
      </c>
      <c r="J35" s="94">
        <v>0</v>
      </c>
    </row>
    <row r="36" spans="1:10">
      <c r="A36" s="91">
        <v>82</v>
      </c>
      <c r="B36" s="95">
        <v>84</v>
      </c>
      <c r="C36" s="93">
        <v>0</v>
      </c>
      <c r="D36" s="93">
        <v>32</v>
      </c>
      <c r="E36" s="93">
        <v>77</v>
      </c>
      <c r="F36" s="93">
        <v>343</v>
      </c>
      <c r="G36" s="93">
        <v>474</v>
      </c>
      <c r="H36" s="93">
        <v>74</v>
      </c>
      <c r="I36" s="93">
        <v>0</v>
      </c>
      <c r="J36" s="94">
        <v>0</v>
      </c>
    </row>
    <row r="37" spans="1:10">
      <c r="A37" s="91">
        <v>84</v>
      </c>
      <c r="B37" s="95">
        <v>86</v>
      </c>
      <c r="C37" s="93">
        <v>0</v>
      </c>
      <c r="D37" s="93">
        <v>26</v>
      </c>
      <c r="E37" s="93">
        <v>67</v>
      </c>
      <c r="F37" s="93">
        <v>315</v>
      </c>
      <c r="G37" s="93">
        <v>497</v>
      </c>
      <c r="H37" s="93">
        <v>95</v>
      </c>
      <c r="I37" s="93">
        <v>0</v>
      </c>
      <c r="J37" s="94">
        <v>0</v>
      </c>
    </row>
    <row r="38" spans="1:10">
      <c r="A38" s="91">
        <v>86</v>
      </c>
      <c r="B38" s="95">
        <v>88</v>
      </c>
      <c r="C38" s="93">
        <v>0</v>
      </c>
      <c r="D38" s="93">
        <v>22</v>
      </c>
      <c r="E38" s="93">
        <v>57</v>
      </c>
      <c r="F38" s="93">
        <v>289</v>
      </c>
      <c r="G38" s="93">
        <v>514</v>
      </c>
      <c r="H38" s="93">
        <v>112</v>
      </c>
      <c r="I38" s="93">
        <v>6</v>
      </c>
      <c r="J38" s="94">
        <v>0</v>
      </c>
    </row>
    <row r="39" spans="1:10">
      <c r="A39" s="91">
        <v>88</v>
      </c>
      <c r="B39" s="95">
        <v>90</v>
      </c>
      <c r="C39" s="93">
        <v>0</v>
      </c>
      <c r="D39" s="93">
        <v>17</v>
      </c>
      <c r="E39" s="93">
        <v>49</v>
      </c>
      <c r="F39" s="93">
        <v>265</v>
      </c>
      <c r="G39" s="93">
        <v>524</v>
      </c>
      <c r="H39" s="93">
        <v>139</v>
      </c>
      <c r="I39" s="93">
        <v>6</v>
      </c>
      <c r="J39" s="94">
        <v>0</v>
      </c>
    </row>
    <row r="40" spans="1:10">
      <c r="A40" s="91">
        <v>90</v>
      </c>
      <c r="B40" s="95">
        <v>92</v>
      </c>
      <c r="C40" s="93">
        <v>0</v>
      </c>
      <c r="D40" s="93">
        <v>13</v>
      </c>
      <c r="E40" s="93">
        <v>42</v>
      </c>
      <c r="F40" s="93">
        <v>242</v>
      </c>
      <c r="G40" s="93">
        <v>527</v>
      </c>
      <c r="H40" s="93">
        <v>164</v>
      </c>
      <c r="I40" s="93">
        <v>12</v>
      </c>
      <c r="J40" s="94">
        <v>0</v>
      </c>
    </row>
    <row r="41" spans="1:10">
      <c r="A41" s="91">
        <v>92</v>
      </c>
      <c r="B41" s="95">
        <v>94</v>
      </c>
      <c r="C41" s="93">
        <v>0</v>
      </c>
      <c r="D41" s="93">
        <v>11</v>
      </c>
      <c r="E41" s="93">
        <v>36</v>
      </c>
      <c r="F41" s="93">
        <v>219</v>
      </c>
      <c r="G41" s="93">
        <v>524</v>
      </c>
      <c r="H41" s="93">
        <v>193</v>
      </c>
      <c r="I41" s="93">
        <v>17</v>
      </c>
      <c r="J41" s="94">
        <v>0</v>
      </c>
    </row>
    <row r="42" spans="1:10">
      <c r="A42" s="91">
        <v>94</v>
      </c>
      <c r="B42" s="95">
        <v>96</v>
      </c>
      <c r="C42" s="93">
        <v>0</v>
      </c>
      <c r="D42" s="93">
        <v>8</v>
      </c>
      <c r="E42" s="93">
        <v>31</v>
      </c>
      <c r="F42" s="93">
        <v>198</v>
      </c>
      <c r="G42" s="93">
        <v>518</v>
      </c>
      <c r="H42" s="93">
        <v>222</v>
      </c>
      <c r="I42" s="93">
        <v>23</v>
      </c>
      <c r="J42" s="94">
        <v>0</v>
      </c>
    </row>
    <row r="43" spans="1:10">
      <c r="A43" s="91">
        <v>96</v>
      </c>
      <c r="B43" s="95">
        <v>98</v>
      </c>
      <c r="C43" s="93">
        <v>0</v>
      </c>
      <c r="D43" s="93">
        <v>6</v>
      </c>
      <c r="E43" s="93">
        <v>26</v>
      </c>
      <c r="F43" s="93">
        <v>178</v>
      </c>
      <c r="G43" s="93">
        <v>511</v>
      </c>
      <c r="H43" s="93">
        <v>250</v>
      </c>
      <c r="I43" s="93">
        <v>29</v>
      </c>
      <c r="J43" s="94">
        <v>0</v>
      </c>
    </row>
    <row r="44" spans="1:10">
      <c r="A44" s="91">
        <v>98</v>
      </c>
      <c r="B44" s="95">
        <v>100</v>
      </c>
      <c r="C44" s="93">
        <v>0</v>
      </c>
      <c r="D44" s="93">
        <v>5</v>
      </c>
      <c r="E44" s="93">
        <v>22</v>
      </c>
      <c r="F44" s="93">
        <v>158</v>
      </c>
      <c r="G44" s="93">
        <v>500</v>
      </c>
      <c r="H44" s="93">
        <v>280</v>
      </c>
      <c r="I44" s="93">
        <v>35</v>
      </c>
      <c r="J44" s="94">
        <v>0</v>
      </c>
    </row>
    <row r="45" spans="1:10">
      <c r="A45" s="91">
        <v>100</v>
      </c>
      <c r="B45" s="95">
        <v>103</v>
      </c>
      <c r="C45" s="93">
        <v>0</v>
      </c>
      <c r="D45" s="93">
        <v>4</v>
      </c>
      <c r="E45" s="93">
        <v>18</v>
      </c>
      <c r="F45" s="93">
        <v>142</v>
      </c>
      <c r="G45" s="93">
        <v>483</v>
      </c>
      <c r="H45" s="93">
        <v>307</v>
      </c>
      <c r="I45" s="93">
        <v>46</v>
      </c>
      <c r="J45" s="94">
        <v>0</v>
      </c>
    </row>
    <row r="46" spans="1:10">
      <c r="A46" s="91">
        <v>102</v>
      </c>
      <c r="B46" s="95">
        <v>105</v>
      </c>
      <c r="C46" s="93">
        <v>0</v>
      </c>
      <c r="D46" s="93">
        <v>3</v>
      </c>
      <c r="E46" s="93">
        <v>16</v>
      </c>
      <c r="F46" s="93">
        <v>127</v>
      </c>
      <c r="G46" s="93">
        <v>465</v>
      </c>
      <c r="H46" s="93">
        <v>326</v>
      </c>
      <c r="I46" s="93">
        <v>63</v>
      </c>
      <c r="J46" s="94">
        <v>0</v>
      </c>
    </row>
    <row r="47" spans="1:10">
      <c r="A47" s="91">
        <v>104</v>
      </c>
      <c r="B47" s="95">
        <v>107</v>
      </c>
      <c r="C47" s="93">
        <v>0</v>
      </c>
      <c r="D47" s="93">
        <v>2</v>
      </c>
      <c r="E47" s="93">
        <v>13</v>
      </c>
      <c r="F47" s="93">
        <v>113</v>
      </c>
      <c r="G47" s="93">
        <v>445</v>
      </c>
      <c r="H47" s="93">
        <v>353</v>
      </c>
      <c r="I47" s="93">
        <v>74</v>
      </c>
      <c r="J47" s="94">
        <v>0</v>
      </c>
    </row>
    <row r="48" spans="1:10">
      <c r="A48" s="91">
        <v>106</v>
      </c>
      <c r="B48" s="95">
        <v>109</v>
      </c>
      <c r="C48" s="93">
        <v>0</v>
      </c>
      <c r="D48" s="93">
        <v>1</v>
      </c>
      <c r="E48" s="93">
        <v>11</v>
      </c>
      <c r="F48" s="93">
        <v>101</v>
      </c>
      <c r="G48" s="93">
        <v>423</v>
      </c>
      <c r="H48" s="93">
        <v>373</v>
      </c>
      <c r="I48" s="93">
        <v>84</v>
      </c>
      <c r="J48" s="94">
        <v>7</v>
      </c>
    </row>
    <row r="49" spans="1:10">
      <c r="A49" s="91">
        <v>108</v>
      </c>
      <c r="B49" s="95">
        <v>111</v>
      </c>
      <c r="C49" s="93">
        <v>0</v>
      </c>
      <c r="D49" s="93">
        <v>1</v>
      </c>
      <c r="E49" s="93">
        <v>9</v>
      </c>
      <c r="F49" s="93">
        <v>90</v>
      </c>
      <c r="G49" s="93">
        <v>399</v>
      </c>
      <c r="H49" s="93">
        <v>387</v>
      </c>
      <c r="I49" s="93">
        <v>106</v>
      </c>
      <c r="J49" s="94">
        <v>8</v>
      </c>
    </row>
    <row r="50" spans="1:10">
      <c r="A50" s="91">
        <v>110</v>
      </c>
      <c r="B50" s="95">
        <v>113</v>
      </c>
      <c r="C50" s="93">
        <v>0</v>
      </c>
      <c r="D50" s="93">
        <v>0</v>
      </c>
      <c r="E50" s="93">
        <v>7</v>
      </c>
      <c r="F50" s="93">
        <v>79</v>
      </c>
      <c r="G50" s="93">
        <v>380</v>
      </c>
      <c r="H50" s="93">
        <v>399</v>
      </c>
      <c r="I50" s="93">
        <v>120</v>
      </c>
      <c r="J50" s="94">
        <v>15</v>
      </c>
    </row>
    <row r="51" spans="1:10">
      <c r="A51" s="91">
        <v>112</v>
      </c>
      <c r="B51" s="95">
        <v>115</v>
      </c>
      <c r="C51" s="93">
        <v>0</v>
      </c>
      <c r="D51" s="93">
        <v>0</v>
      </c>
      <c r="E51" s="93">
        <v>6</v>
      </c>
      <c r="F51" s="93">
        <v>69</v>
      </c>
      <c r="G51" s="93">
        <v>359</v>
      </c>
      <c r="H51" s="93">
        <v>410</v>
      </c>
      <c r="I51" s="93">
        <v>141</v>
      </c>
      <c r="J51" s="94">
        <v>15</v>
      </c>
    </row>
    <row r="52" spans="1:10">
      <c r="A52" s="91">
        <v>114</v>
      </c>
      <c r="B52" s="95">
        <v>117</v>
      </c>
      <c r="C52" s="93">
        <v>0</v>
      </c>
      <c r="D52" s="93">
        <v>0</v>
      </c>
      <c r="E52" s="93">
        <v>5</v>
      </c>
      <c r="F52" s="93">
        <v>62</v>
      </c>
      <c r="G52" s="93">
        <v>335</v>
      </c>
      <c r="H52" s="93">
        <v>419</v>
      </c>
      <c r="I52" s="93">
        <v>156</v>
      </c>
      <c r="J52" s="94">
        <v>23</v>
      </c>
    </row>
    <row r="53" spans="1:10">
      <c r="A53" s="91">
        <v>116</v>
      </c>
      <c r="B53" s="95">
        <v>119</v>
      </c>
      <c r="C53" s="93">
        <v>0</v>
      </c>
      <c r="D53" s="93">
        <v>0</v>
      </c>
      <c r="E53" s="93">
        <v>4</v>
      </c>
      <c r="F53" s="93">
        <v>54</v>
      </c>
      <c r="G53" s="93">
        <v>313</v>
      </c>
      <c r="H53" s="93">
        <v>423</v>
      </c>
      <c r="I53" s="93">
        <v>176</v>
      </c>
      <c r="J53" s="94">
        <v>30</v>
      </c>
    </row>
    <row r="54" spans="1:10">
      <c r="A54" s="91">
        <v>118</v>
      </c>
      <c r="B54" s="95">
        <v>121</v>
      </c>
      <c r="C54" s="93">
        <v>0</v>
      </c>
      <c r="D54" s="93">
        <v>0</v>
      </c>
      <c r="E54" s="93">
        <v>3</v>
      </c>
      <c r="F54" s="93">
        <v>46</v>
      </c>
      <c r="G54" s="93">
        <v>293</v>
      </c>
      <c r="H54" s="93">
        <v>424</v>
      </c>
      <c r="I54" s="93">
        <v>196</v>
      </c>
      <c r="J54" s="94">
        <v>38</v>
      </c>
    </row>
    <row r="55" spans="1:10">
      <c r="A55" s="91">
        <v>120</v>
      </c>
      <c r="B55" s="95">
        <v>123</v>
      </c>
      <c r="C55" s="93">
        <v>0</v>
      </c>
      <c r="D55" s="93">
        <v>0</v>
      </c>
      <c r="E55" s="93">
        <v>3</v>
      </c>
      <c r="F55" s="93">
        <v>41</v>
      </c>
      <c r="G55" s="93">
        <v>272</v>
      </c>
      <c r="H55" s="93">
        <v>423</v>
      </c>
      <c r="I55" s="93">
        <v>216</v>
      </c>
      <c r="J55" s="94">
        <v>45</v>
      </c>
    </row>
    <row r="56" spans="1:10">
      <c r="A56" s="91">
        <v>122</v>
      </c>
      <c r="B56" s="95">
        <v>125</v>
      </c>
      <c r="C56" s="93">
        <v>0</v>
      </c>
      <c r="D56" s="93">
        <v>0</v>
      </c>
      <c r="E56" s="93">
        <v>2</v>
      </c>
      <c r="F56" s="93">
        <v>36</v>
      </c>
      <c r="G56" s="93">
        <v>251</v>
      </c>
      <c r="H56" s="93">
        <v>421</v>
      </c>
      <c r="I56" s="93">
        <v>237</v>
      </c>
      <c r="J56" s="94">
        <v>53</v>
      </c>
    </row>
    <row r="57" spans="1:10">
      <c r="A57" s="91">
        <v>124</v>
      </c>
      <c r="B57" s="95">
        <v>127</v>
      </c>
      <c r="C57" s="93">
        <v>0</v>
      </c>
      <c r="D57" s="93">
        <v>0</v>
      </c>
      <c r="E57" s="93">
        <v>1</v>
      </c>
      <c r="F57" s="93">
        <v>32</v>
      </c>
      <c r="G57" s="93">
        <v>232</v>
      </c>
      <c r="H57" s="93">
        <v>414</v>
      </c>
      <c r="I57" s="93">
        <v>254</v>
      </c>
      <c r="J57" s="94">
        <v>67</v>
      </c>
    </row>
    <row r="58" spans="1:10">
      <c r="A58" s="91">
        <v>126</v>
      </c>
      <c r="B58" s="95">
        <v>129</v>
      </c>
      <c r="C58" s="93">
        <v>0</v>
      </c>
      <c r="D58" s="93">
        <v>0</v>
      </c>
      <c r="E58" s="93">
        <v>1</v>
      </c>
      <c r="F58" s="93">
        <v>28</v>
      </c>
      <c r="G58" s="93">
        <v>216</v>
      </c>
      <c r="H58" s="93">
        <v>405</v>
      </c>
      <c r="I58" s="93">
        <v>275</v>
      </c>
      <c r="J58" s="94">
        <v>75</v>
      </c>
    </row>
    <row r="59" spans="1:10">
      <c r="A59" s="91">
        <v>128</v>
      </c>
      <c r="B59" s="95">
        <v>131</v>
      </c>
      <c r="C59" s="93">
        <v>0</v>
      </c>
      <c r="D59" s="93">
        <v>0</v>
      </c>
      <c r="E59" s="93">
        <v>1</v>
      </c>
      <c r="F59" s="93">
        <v>23</v>
      </c>
      <c r="G59" s="93">
        <v>199</v>
      </c>
      <c r="H59" s="93">
        <v>397</v>
      </c>
      <c r="I59" s="93">
        <v>290</v>
      </c>
      <c r="J59" s="94">
        <v>90</v>
      </c>
    </row>
    <row r="60" spans="1:10">
      <c r="A60" s="91">
        <v>130</v>
      </c>
      <c r="B60" s="95">
        <v>133</v>
      </c>
      <c r="C60" s="93">
        <v>0</v>
      </c>
      <c r="D60" s="93">
        <v>0</v>
      </c>
      <c r="E60" s="93">
        <v>0</v>
      </c>
      <c r="F60" s="93">
        <v>21</v>
      </c>
      <c r="G60" s="93">
        <v>184</v>
      </c>
      <c r="H60" s="93">
        <v>384</v>
      </c>
      <c r="I60" s="93">
        <v>307</v>
      </c>
      <c r="J60" s="94">
        <v>104</v>
      </c>
    </row>
    <row r="61" spans="1:10">
      <c r="A61" s="96">
        <v>132</v>
      </c>
      <c r="B61" s="97">
        <v>135</v>
      </c>
      <c r="C61" s="98">
        <v>0</v>
      </c>
      <c r="D61" s="93">
        <v>0</v>
      </c>
      <c r="E61" s="93">
        <v>0</v>
      </c>
      <c r="F61" s="93">
        <v>17</v>
      </c>
      <c r="G61" s="98">
        <v>167</v>
      </c>
      <c r="H61" s="98">
        <v>375</v>
      </c>
      <c r="I61" s="98">
        <v>315</v>
      </c>
      <c r="J61" s="94">
        <v>126</v>
      </c>
    </row>
    <row r="62" spans="1:10">
      <c r="A62" s="96">
        <v>134</v>
      </c>
      <c r="B62" s="97">
        <v>137</v>
      </c>
      <c r="C62" s="98">
        <v>0</v>
      </c>
      <c r="D62" s="93">
        <v>0</v>
      </c>
      <c r="E62" s="93">
        <v>0</v>
      </c>
      <c r="F62" s="93">
        <v>15</v>
      </c>
      <c r="G62" s="98">
        <v>152</v>
      </c>
      <c r="H62" s="98">
        <v>364</v>
      </c>
      <c r="I62" s="93">
        <v>328</v>
      </c>
      <c r="J62" s="94">
        <v>141</v>
      </c>
    </row>
    <row r="63" spans="1:10">
      <c r="A63" s="96" t="s">
        <v>36</v>
      </c>
      <c r="B63" s="97">
        <v>139</v>
      </c>
      <c r="C63" s="98">
        <v>0</v>
      </c>
      <c r="D63" s="93">
        <v>0</v>
      </c>
      <c r="E63" s="93">
        <v>0</v>
      </c>
      <c r="F63" s="93">
        <v>13</v>
      </c>
      <c r="G63" s="98">
        <v>142</v>
      </c>
      <c r="H63" s="98">
        <v>347</v>
      </c>
      <c r="I63" s="98">
        <v>336</v>
      </c>
      <c r="J63" s="94">
        <v>162</v>
      </c>
    </row>
    <row r="64" spans="1:10">
      <c r="A64" s="99">
        <v>138</v>
      </c>
      <c r="B64" s="97">
        <v>141</v>
      </c>
      <c r="C64" s="98">
        <v>0</v>
      </c>
      <c r="D64" s="93">
        <v>0</v>
      </c>
      <c r="E64" s="93">
        <v>0</v>
      </c>
      <c r="F64" s="93">
        <v>11</v>
      </c>
      <c r="G64" s="98">
        <v>129</v>
      </c>
      <c r="H64" s="98">
        <v>335</v>
      </c>
      <c r="I64" s="98">
        <v>340</v>
      </c>
      <c r="J64" s="94">
        <v>185</v>
      </c>
    </row>
    <row r="65" spans="1:18">
      <c r="A65" s="96">
        <v>140</v>
      </c>
      <c r="B65" s="97">
        <v>143</v>
      </c>
      <c r="C65" s="98">
        <v>0</v>
      </c>
      <c r="D65" s="93">
        <v>0</v>
      </c>
      <c r="E65" s="93">
        <v>0</v>
      </c>
      <c r="F65" s="93">
        <v>10</v>
      </c>
      <c r="G65" s="98">
        <v>118</v>
      </c>
      <c r="H65" s="98">
        <v>320</v>
      </c>
      <c r="I65" s="98">
        <v>344</v>
      </c>
      <c r="J65" s="94">
        <v>208</v>
      </c>
    </row>
    <row r="66" spans="1:18">
      <c r="A66" s="96">
        <v>142</v>
      </c>
      <c r="B66" s="97">
        <v>146</v>
      </c>
      <c r="C66" s="98">
        <v>0</v>
      </c>
      <c r="D66" s="93">
        <v>0</v>
      </c>
      <c r="E66" s="93">
        <v>0</v>
      </c>
      <c r="F66" s="93">
        <v>7</v>
      </c>
      <c r="G66" s="98">
        <v>107</v>
      </c>
      <c r="H66" s="98">
        <v>305</v>
      </c>
      <c r="I66" s="98">
        <v>351</v>
      </c>
      <c r="J66" s="94">
        <v>230</v>
      </c>
    </row>
    <row r="67" spans="1:18">
      <c r="A67" s="91">
        <v>144</v>
      </c>
      <c r="B67" s="97">
        <v>148</v>
      </c>
      <c r="C67" s="98">
        <v>0</v>
      </c>
      <c r="D67" s="93">
        <v>0</v>
      </c>
      <c r="E67" s="93">
        <v>0</v>
      </c>
      <c r="F67" s="93">
        <v>6</v>
      </c>
      <c r="G67" s="98">
        <v>98</v>
      </c>
      <c r="H67" s="98">
        <v>290</v>
      </c>
      <c r="I67" s="98">
        <v>354</v>
      </c>
      <c r="J67" s="94">
        <v>252</v>
      </c>
    </row>
    <row r="68" spans="1:18">
      <c r="A68" s="91">
        <v>146</v>
      </c>
      <c r="B68" s="95">
        <v>150</v>
      </c>
      <c r="C68" s="93">
        <v>0</v>
      </c>
      <c r="D68" s="93">
        <v>0</v>
      </c>
      <c r="E68" s="93">
        <v>0</v>
      </c>
      <c r="F68" s="93">
        <v>5</v>
      </c>
      <c r="G68" s="93">
        <v>90</v>
      </c>
      <c r="H68" s="93">
        <v>278</v>
      </c>
      <c r="I68" s="98">
        <v>354</v>
      </c>
      <c r="J68" s="94">
        <v>273</v>
      </c>
    </row>
    <row r="69" spans="1:18">
      <c r="A69" s="91">
        <v>148</v>
      </c>
      <c r="B69" s="95">
        <v>152</v>
      </c>
      <c r="C69" s="93">
        <v>0</v>
      </c>
      <c r="D69" s="93">
        <v>0</v>
      </c>
      <c r="E69" s="93">
        <v>0</v>
      </c>
      <c r="F69" s="93">
        <v>4</v>
      </c>
      <c r="G69" s="98">
        <v>82</v>
      </c>
      <c r="H69" s="93">
        <v>261</v>
      </c>
      <c r="I69" s="98">
        <v>350</v>
      </c>
      <c r="J69" s="94">
        <v>303</v>
      </c>
    </row>
    <row r="70" spans="1:18">
      <c r="A70" s="91">
        <v>150</v>
      </c>
      <c r="B70" s="95">
        <v>154</v>
      </c>
      <c r="C70" s="93">
        <v>0</v>
      </c>
      <c r="D70" s="93">
        <v>0</v>
      </c>
      <c r="E70" s="93">
        <v>0</v>
      </c>
      <c r="F70" s="93">
        <v>3</v>
      </c>
      <c r="G70" s="93">
        <v>73</v>
      </c>
      <c r="H70" s="98">
        <v>248</v>
      </c>
      <c r="I70" s="98">
        <v>350</v>
      </c>
      <c r="J70" s="94">
        <v>326</v>
      </c>
    </row>
    <row r="71" spans="1:18">
      <c r="A71" s="91">
        <v>152</v>
      </c>
      <c r="B71" s="97">
        <v>156</v>
      </c>
      <c r="C71" s="98">
        <v>0</v>
      </c>
      <c r="D71" s="93">
        <v>0</v>
      </c>
      <c r="E71" s="93">
        <v>0</v>
      </c>
      <c r="F71" s="93">
        <v>3</v>
      </c>
      <c r="G71" s="98">
        <v>66</v>
      </c>
      <c r="H71" s="98">
        <v>235</v>
      </c>
      <c r="I71" s="93">
        <v>346</v>
      </c>
      <c r="J71" s="94">
        <v>350</v>
      </c>
    </row>
    <row r="72" spans="1:18">
      <c r="A72" s="91">
        <v>154</v>
      </c>
      <c r="B72" s="97">
        <v>158</v>
      </c>
      <c r="C72" s="98">
        <v>0</v>
      </c>
      <c r="D72" s="93">
        <v>0</v>
      </c>
      <c r="E72" s="93">
        <v>0</v>
      </c>
      <c r="F72" s="93">
        <v>2</v>
      </c>
      <c r="G72" s="98">
        <v>59</v>
      </c>
      <c r="H72" s="98">
        <v>225</v>
      </c>
      <c r="I72" s="93">
        <v>342</v>
      </c>
      <c r="J72" s="94">
        <v>372</v>
      </c>
    </row>
    <row r="73" spans="1:18">
      <c r="A73" s="91">
        <v>156</v>
      </c>
      <c r="B73" s="97">
        <v>160</v>
      </c>
      <c r="C73" s="98">
        <v>0</v>
      </c>
      <c r="D73" s="93">
        <v>0</v>
      </c>
      <c r="E73" s="93">
        <v>0</v>
      </c>
      <c r="F73" s="93">
        <v>2</v>
      </c>
      <c r="G73" s="98">
        <v>55</v>
      </c>
      <c r="H73" s="98">
        <v>207</v>
      </c>
      <c r="I73" s="98">
        <v>334</v>
      </c>
      <c r="J73" s="94">
        <v>402</v>
      </c>
    </row>
    <row r="74" spans="1:18">
      <c r="A74" s="96">
        <v>158</v>
      </c>
      <c r="B74" s="97">
        <v>162</v>
      </c>
      <c r="C74" s="98">
        <v>0</v>
      </c>
      <c r="D74" s="93">
        <v>0</v>
      </c>
      <c r="E74" s="93">
        <v>0</v>
      </c>
      <c r="F74" s="93">
        <v>1</v>
      </c>
      <c r="G74" s="98">
        <v>51</v>
      </c>
      <c r="H74" s="98">
        <v>198</v>
      </c>
      <c r="I74" s="93">
        <v>324</v>
      </c>
      <c r="J74" s="94">
        <v>426</v>
      </c>
    </row>
    <row r="75" spans="1:18">
      <c r="A75" s="96">
        <v>160</v>
      </c>
      <c r="B75" s="97">
        <v>164</v>
      </c>
      <c r="C75" s="98">
        <v>0</v>
      </c>
      <c r="D75" s="93">
        <v>0</v>
      </c>
      <c r="E75" s="93">
        <v>0</v>
      </c>
      <c r="F75" s="93">
        <v>1</v>
      </c>
      <c r="G75" s="98">
        <v>44</v>
      </c>
      <c r="H75" s="98">
        <v>184</v>
      </c>
      <c r="I75" s="93">
        <v>321</v>
      </c>
      <c r="J75" s="94">
        <v>450</v>
      </c>
    </row>
    <row r="76" spans="1:18">
      <c r="A76" s="96">
        <v>162</v>
      </c>
      <c r="B76" s="97">
        <v>166</v>
      </c>
      <c r="C76" s="98">
        <v>0</v>
      </c>
      <c r="D76" s="93">
        <v>0</v>
      </c>
      <c r="E76" s="93">
        <v>0</v>
      </c>
      <c r="F76" s="93">
        <v>1</v>
      </c>
      <c r="G76" s="98">
        <v>39</v>
      </c>
      <c r="H76" s="93">
        <v>177</v>
      </c>
      <c r="I76" s="93">
        <v>309</v>
      </c>
      <c r="J76" s="94">
        <v>474</v>
      </c>
    </row>
    <row r="77" spans="1:18">
      <c r="A77" s="96">
        <v>164</v>
      </c>
      <c r="B77" s="97">
        <v>168</v>
      </c>
      <c r="C77" s="98">
        <v>0</v>
      </c>
      <c r="D77" s="93">
        <v>0</v>
      </c>
      <c r="E77" s="93">
        <v>0</v>
      </c>
      <c r="F77" s="93">
        <v>0</v>
      </c>
      <c r="G77" s="93">
        <v>37</v>
      </c>
      <c r="H77" s="93">
        <v>164</v>
      </c>
      <c r="I77" s="93">
        <v>302</v>
      </c>
      <c r="J77" s="94">
        <v>497</v>
      </c>
    </row>
    <row r="78" spans="1:18">
      <c r="A78" s="91">
        <v>166</v>
      </c>
      <c r="B78" s="95">
        <v>170</v>
      </c>
      <c r="C78" s="93">
        <v>0</v>
      </c>
      <c r="D78" s="93">
        <v>0</v>
      </c>
      <c r="E78" s="93">
        <v>0</v>
      </c>
      <c r="F78" s="93">
        <v>0</v>
      </c>
      <c r="G78" s="93">
        <v>33</v>
      </c>
      <c r="H78" s="93">
        <v>151</v>
      </c>
      <c r="I78" s="93">
        <v>293</v>
      </c>
      <c r="J78" s="94">
        <v>523</v>
      </c>
    </row>
    <row r="79" spans="1:18">
      <c r="A79" s="91">
        <v>168</v>
      </c>
      <c r="B79" s="97">
        <v>172</v>
      </c>
      <c r="C79" s="98">
        <v>0</v>
      </c>
      <c r="D79" s="93">
        <v>0</v>
      </c>
      <c r="E79" s="93">
        <v>0</v>
      </c>
      <c r="F79" s="93">
        <v>0</v>
      </c>
      <c r="G79" s="93">
        <v>30</v>
      </c>
      <c r="H79" s="98">
        <v>141</v>
      </c>
      <c r="I79" s="93">
        <v>287</v>
      </c>
      <c r="J79" s="94">
        <v>542</v>
      </c>
      <c r="M79" s="16"/>
      <c r="N79" s="16"/>
      <c r="O79" s="16"/>
      <c r="P79" s="16"/>
      <c r="Q79" s="16"/>
      <c r="R79" s="16"/>
    </row>
    <row r="80" spans="1:18" ht="13.5" thickBot="1">
      <c r="A80" s="100">
        <v>170</v>
      </c>
      <c r="B80" s="101">
        <v>174</v>
      </c>
      <c r="C80" s="102">
        <v>0</v>
      </c>
      <c r="D80" s="102">
        <v>0</v>
      </c>
      <c r="E80" s="102">
        <v>0</v>
      </c>
      <c r="F80" s="102">
        <v>0</v>
      </c>
      <c r="G80" s="102">
        <v>26</v>
      </c>
      <c r="H80" s="102">
        <v>134</v>
      </c>
      <c r="I80" s="102">
        <v>274</v>
      </c>
      <c r="J80" s="103">
        <v>566</v>
      </c>
      <c r="M80" s="16"/>
      <c r="N80" s="16"/>
      <c r="O80" s="16"/>
      <c r="P80" s="16"/>
      <c r="Q80" s="16"/>
      <c r="R80" s="16"/>
    </row>
    <row r="81" spans="1:19">
      <c r="M81" s="16"/>
      <c r="N81" s="16"/>
      <c r="O81" s="16"/>
      <c r="P81" s="16"/>
      <c r="Q81" s="16"/>
      <c r="R81" s="16"/>
    </row>
    <row r="82" spans="1:19">
      <c r="M82" s="16"/>
      <c r="N82" s="16"/>
      <c r="O82" s="16"/>
      <c r="P82" s="16"/>
      <c r="Q82" s="16"/>
      <c r="R82" s="16"/>
    </row>
    <row r="83" spans="1:19">
      <c r="B83" s="21"/>
      <c r="C83" s="21"/>
      <c r="D83" s="21"/>
      <c r="E83" s="21"/>
      <c r="M83" s="16"/>
      <c r="N83" s="16"/>
      <c r="O83" s="16"/>
      <c r="P83" s="16"/>
      <c r="Q83" s="16"/>
      <c r="R83" s="16"/>
    </row>
    <row r="84" spans="1:19">
      <c r="A84" s="28"/>
      <c r="B84" s="31"/>
      <c r="C84" s="31"/>
      <c r="D84" s="31"/>
      <c r="E84" s="31"/>
      <c r="F84" s="27"/>
      <c r="G84" s="27"/>
      <c r="H84" s="27"/>
      <c r="I84" s="27"/>
      <c r="J84" s="27"/>
      <c r="K84" s="27"/>
      <c r="L84" s="31"/>
      <c r="M84" s="31"/>
      <c r="N84" s="51"/>
      <c r="O84" s="31"/>
      <c r="P84" s="33"/>
      <c r="Q84" s="31"/>
      <c r="R84" s="31"/>
      <c r="S84">
        <f>SUM(G84:R84)</f>
        <v>0</v>
      </c>
    </row>
    <row r="85" spans="1:19">
      <c r="A85" s="25"/>
      <c r="B85" s="30"/>
      <c r="C85" s="30"/>
      <c r="D85" s="21"/>
      <c r="E85" s="21"/>
      <c r="G85" s="24"/>
      <c r="H85" s="24"/>
      <c r="I85" s="24"/>
      <c r="J85" s="24"/>
      <c r="K85" s="26"/>
      <c r="L85" s="24"/>
      <c r="M85" s="30"/>
      <c r="N85" s="52"/>
      <c r="O85" s="30"/>
      <c r="P85" s="32"/>
      <c r="Q85" s="30"/>
      <c r="R85" s="30"/>
      <c r="S85">
        <f>SUM(G85:R85)</f>
        <v>0</v>
      </c>
    </row>
    <row r="86" spans="1:19">
      <c r="B86" s="21"/>
      <c r="C86" s="21"/>
      <c r="D86" s="21"/>
      <c r="E86" s="21"/>
      <c r="M86" s="16"/>
      <c r="N86" s="16"/>
      <c r="O86" s="16"/>
      <c r="P86" s="16"/>
      <c r="Q86" s="16"/>
      <c r="R86" s="16"/>
    </row>
    <row r="87" spans="1:19">
      <c r="B87" s="21"/>
      <c r="C87" s="21"/>
      <c r="D87" s="21"/>
      <c r="E87" s="21"/>
      <c r="M87" s="16"/>
      <c r="N87" s="16"/>
      <c r="O87" s="16"/>
      <c r="P87" s="16"/>
      <c r="Q87" s="16"/>
      <c r="R87" s="16"/>
    </row>
    <row r="88" spans="1:19">
      <c r="B88" s="21"/>
      <c r="C88" s="21"/>
      <c r="D88" s="21"/>
      <c r="E88" s="31"/>
      <c r="F88" s="27"/>
      <c r="G88" s="27"/>
      <c r="H88" s="27"/>
      <c r="I88" s="27"/>
      <c r="J88" s="27"/>
      <c r="K88" s="29"/>
      <c r="L88" s="27"/>
      <c r="M88" s="33"/>
      <c r="N88" s="31"/>
      <c r="O88" s="31"/>
      <c r="P88" s="53"/>
      <c r="Q88" s="16"/>
      <c r="R88" s="16"/>
    </row>
    <row r="89" spans="1:19">
      <c r="B89" s="21"/>
      <c r="C89" s="21"/>
      <c r="D89" s="21"/>
      <c r="E89" s="21"/>
      <c r="M89" s="16"/>
      <c r="N89" s="16"/>
      <c r="O89" s="16"/>
      <c r="P89" s="16"/>
      <c r="Q89" s="16"/>
      <c r="R89" s="16"/>
    </row>
    <row r="90" spans="1:19">
      <c r="B90" s="21"/>
      <c r="C90" s="21"/>
      <c r="D90" s="21"/>
      <c r="E90" s="21"/>
      <c r="M90" s="16"/>
      <c r="N90" s="16"/>
      <c r="O90" s="16"/>
      <c r="P90" s="16"/>
      <c r="Q90" s="16"/>
      <c r="R90" s="16"/>
    </row>
    <row r="91" spans="1:19">
      <c r="B91" s="21"/>
      <c r="C91" s="21"/>
      <c r="D91" s="21"/>
      <c r="E91" s="21"/>
      <c r="M91" s="16"/>
      <c r="N91" s="16"/>
      <c r="O91" s="16"/>
      <c r="P91" s="16"/>
      <c r="Q91" s="16"/>
      <c r="R91" s="16"/>
    </row>
    <row r="92" spans="1:19">
      <c r="B92" s="21"/>
      <c r="C92" s="21"/>
      <c r="D92" s="21"/>
      <c r="E92" s="21"/>
    </row>
  </sheetData>
  <phoneticPr fontId="4"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G110"/>
  <sheetViews>
    <sheetView topLeftCell="A10" zoomScale="70" zoomScaleNormal="70" workbookViewId="0">
      <selection activeCell="Z28" sqref="Z28"/>
    </sheetView>
  </sheetViews>
  <sheetFormatPr baseColWidth="10" defaultRowHeight="12.75"/>
  <cols>
    <col min="1" max="1" width="2.5703125" bestFit="1" customWidth="1"/>
    <col min="2" max="2" width="12.7109375" customWidth="1"/>
    <col min="4" max="4" width="27.140625" bestFit="1" customWidth="1"/>
    <col min="5" max="5" width="14" bestFit="1" customWidth="1"/>
    <col min="7" max="7" width="15.7109375" bestFit="1" customWidth="1"/>
    <col min="8" max="8" width="14.7109375" customWidth="1"/>
    <col min="9" max="10" width="11.42578125" customWidth="1"/>
    <col min="11" max="11" width="12.5703125" bestFit="1" customWidth="1"/>
    <col min="12" max="12" width="13.42578125" customWidth="1"/>
    <col min="13" max="14" width="12" bestFit="1" customWidth="1"/>
    <col min="24" max="24" width="16" style="54" bestFit="1" customWidth="1"/>
    <col min="25" max="25" width="15.7109375" bestFit="1" customWidth="1"/>
    <col min="28" max="33" width="11.42578125" style="15"/>
  </cols>
  <sheetData>
    <row r="2" spans="1:11">
      <c r="B2" s="2" t="s">
        <v>8</v>
      </c>
    </row>
    <row r="4" spans="1:11">
      <c r="B4" s="50" t="s">
        <v>143</v>
      </c>
    </row>
    <row r="6" spans="1:11">
      <c r="A6" s="248" t="s">
        <v>45</v>
      </c>
      <c r="B6" s="249" t="s">
        <v>168</v>
      </c>
      <c r="C6" s="248"/>
      <c r="D6" s="248"/>
      <c r="E6" s="248"/>
      <c r="F6" s="248"/>
      <c r="G6" s="248"/>
      <c r="H6" s="248"/>
      <c r="I6" s="248"/>
      <c r="J6" s="248"/>
      <c r="K6" s="248"/>
    </row>
    <row r="7" spans="1:11">
      <c r="A7" s="241" t="s">
        <v>44</v>
      </c>
      <c r="B7" s="241" t="s">
        <v>72</v>
      </c>
      <c r="C7" s="241"/>
      <c r="D7" s="241"/>
      <c r="E7" s="241"/>
      <c r="F7" s="241"/>
      <c r="G7" s="241"/>
      <c r="H7" s="241"/>
      <c r="I7" s="241"/>
      <c r="J7" s="241"/>
      <c r="K7" s="241"/>
    </row>
    <row r="8" spans="1:11">
      <c r="A8" s="251" t="s">
        <v>48</v>
      </c>
      <c r="B8" s="251" t="s">
        <v>255</v>
      </c>
      <c r="C8" s="250"/>
      <c r="D8" s="250"/>
      <c r="E8" s="250"/>
      <c r="F8" s="250"/>
      <c r="G8" s="250"/>
      <c r="H8" s="250"/>
      <c r="I8" s="250"/>
      <c r="J8" s="250"/>
      <c r="K8" s="250"/>
    </row>
    <row r="9" spans="1:11">
      <c r="A9" s="262" t="s">
        <v>254</v>
      </c>
      <c r="B9" s="262" t="s">
        <v>196</v>
      </c>
      <c r="C9" s="263"/>
      <c r="D9" s="263"/>
      <c r="E9" s="263"/>
      <c r="F9" s="263"/>
      <c r="G9" s="263"/>
      <c r="H9" s="263"/>
      <c r="I9" s="263"/>
      <c r="J9" s="263"/>
      <c r="K9" s="263"/>
    </row>
    <row r="11" spans="1:11">
      <c r="C11" s="12"/>
    </row>
    <row r="12" spans="1:11">
      <c r="C12" s="18" t="s">
        <v>11</v>
      </c>
      <c r="G12" s="12"/>
      <c r="H12" s="12"/>
      <c r="I12" s="12"/>
      <c r="J12" s="12"/>
      <c r="K12" s="12"/>
    </row>
    <row r="13" spans="1:11">
      <c r="C13" s="18" t="s">
        <v>19</v>
      </c>
    </row>
    <row r="14" spans="1:11">
      <c r="C14" s="18" t="s">
        <v>18</v>
      </c>
    </row>
    <row r="15" spans="1:11">
      <c r="C15" s="18" t="s">
        <v>22</v>
      </c>
    </row>
    <row r="16" spans="1:11">
      <c r="C16" s="18" t="s">
        <v>12</v>
      </c>
    </row>
    <row r="17" spans="3:32">
      <c r="C17" s="17" t="s">
        <v>66</v>
      </c>
    </row>
    <row r="18" spans="3:32">
      <c r="C18" s="17" t="s">
        <v>204</v>
      </c>
    </row>
    <row r="19" spans="3:32">
      <c r="F19" s="12"/>
    </row>
    <row r="20" spans="3:32">
      <c r="C20" t="s">
        <v>62</v>
      </c>
    </row>
    <row r="21" spans="3:32">
      <c r="I21" s="18"/>
      <c r="V21" s="792" t="s">
        <v>550</v>
      </c>
      <c r="W21" s="792"/>
      <c r="X21" s="792"/>
      <c r="Y21" s="792"/>
      <c r="Z21" s="792"/>
    </row>
    <row r="22" spans="3:32" ht="13.5" thickBot="1">
      <c r="G22" s="289" t="s">
        <v>447</v>
      </c>
      <c r="H22" s="289"/>
      <c r="I22" s="291"/>
      <c r="J22" s="291"/>
      <c r="K22" s="2" t="s">
        <v>542</v>
      </c>
      <c r="L22" s="789" t="s">
        <v>440</v>
      </c>
      <c r="M22" s="789"/>
      <c r="N22" s="789"/>
      <c r="V22" s="789"/>
      <c r="W22" s="789"/>
      <c r="X22" s="789"/>
      <c r="Y22" s="789"/>
      <c r="Z22" s="789"/>
    </row>
    <row r="23" spans="3:32" ht="13.5" thickBot="1">
      <c r="C23" s="1" t="s">
        <v>1</v>
      </c>
      <c r="D23" s="1" t="s">
        <v>46</v>
      </c>
      <c r="E23" s="1" t="s">
        <v>144</v>
      </c>
      <c r="G23" s="234" t="s">
        <v>280</v>
      </c>
      <c r="H23" s="235" t="s">
        <v>281</v>
      </c>
      <c r="I23" s="293"/>
      <c r="J23" s="294"/>
      <c r="K23" s="240" t="s">
        <v>543</v>
      </c>
      <c r="L23" s="252" t="s">
        <v>279</v>
      </c>
      <c r="M23" s="253" t="s">
        <v>285</v>
      </c>
      <c r="N23" s="254" t="s">
        <v>283</v>
      </c>
      <c r="O23" s="158"/>
      <c r="V23" s="252" t="s">
        <v>279</v>
      </c>
      <c r="W23" s="253" t="s">
        <v>285</v>
      </c>
      <c r="X23" s="253" t="s">
        <v>549</v>
      </c>
      <c r="Y23" s="253" t="s">
        <v>547</v>
      </c>
      <c r="Z23" s="254" t="s">
        <v>548</v>
      </c>
      <c r="AC23" s="775"/>
      <c r="AD23" s="775"/>
      <c r="AE23" s="775"/>
      <c r="AF23" s="775"/>
    </row>
    <row r="24" spans="3:32" ht="12.75" customHeight="1">
      <c r="C24" s="19">
        <v>0</v>
      </c>
      <c r="D24" s="23" t="s">
        <v>60</v>
      </c>
      <c r="E24" s="58">
        <v>-2800</v>
      </c>
      <c r="G24" s="236">
        <f>E24*1.028^(25-C24)</f>
        <v>-5584.5206068807047</v>
      </c>
      <c r="H24" s="237"/>
      <c r="I24" s="295"/>
      <c r="J24" s="290"/>
      <c r="K24" s="768">
        <f>E24/(1.028^C24)</f>
        <v>-2800</v>
      </c>
      <c r="L24" s="255">
        <v>0</v>
      </c>
      <c r="M24" s="256">
        <f>H40</f>
        <v>4437.9192646573038</v>
      </c>
      <c r="N24" s="257">
        <f>M24</f>
        <v>4437.9192646573038</v>
      </c>
      <c r="O24" s="167" t="s">
        <v>434</v>
      </c>
      <c r="Q24" s="246"/>
      <c r="R24" s="246"/>
      <c r="V24" s="255">
        <f>0</f>
        <v>0</v>
      </c>
      <c r="W24" s="256">
        <f>VLOOKUP(V24,C$24:E$36,3,FALSE)</f>
        <v>-2800</v>
      </c>
      <c r="X24" s="773">
        <f>IF(ISNA(W24),0,W24)</f>
        <v>-2800</v>
      </c>
      <c r="Y24" s="772">
        <f>H40</f>
        <v>4437.9192646573038</v>
      </c>
      <c r="Z24" s="257">
        <f>Y24-X24</f>
        <v>7237.9192646573038</v>
      </c>
      <c r="AD24" s="776"/>
      <c r="AE24" s="777"/>
      <c r="AF24" s="776"/>
    </row>
    <row r="25" spans="3:32">
      <c r="C25" s="20">
        <v>1</v>
      </c>
      <c r="D25" s="16" t="s">
        <v>50</v>
      </c>
      <c r="E25" s="55">
        <v>-400</v>
      </c>
      <c r="G25" s="236">
        <f t="shared" ref="G25:G29" si="0">E25*1.028^(25-C25)</f>
        <v>-776.05900595896401</v>
      </c>
      <c r="H25" s="237"/>
      <c r="I25" s="295"/>
      <c r="J25" s="290"/>
      <c r="K25" s="769">
        <f t="shared" ref="K25:K36" si="1">E25/1.028^C25</f>
        <v>-389.10505836575874</v>
      </c>
      <c r="L25" s="255">
        <v>0</v>
      </c>
      <c r="M25" s="256">
        <f>E24</f>
        <v>-2800</v>
      </c>
      <c r="N25" s="257">
        <f>N24-M25</f>
        <v>7237.9192646573038</v>
      </c>
      <c r="O25" s="167" t="s">
        <v>435</v>
      </c>
      <c r="P25" s="246"/>
      <c r="Q25" s="246"/>
      <c r="R25" s="246"/>
      <c r="V25" s="255">
        <v>1</v>
      </c>
      <c r="W25" s="256">
        <f t="shared" ref="W25:W84" si="2">VLOOKUP(V25,C$24:E$36,3,FALSE)</f>
        <v>-400</v>
      </c>
      <c r="X25" s="773">
        <f t="shared" ref="X25:X84" si="3">IF(ISNA(W25),0,W25)</f>
        <v>-400</v>
      </c>
      <c r="Y25" s="256">
        <f>Z24*1.028</f>
        <v>7440.5810040677088</v>
      </c>
      <c r="Z25" s="257">
        <f t="shared" ref="Z25:Z84" si="4">Y25-X25</f>
        <v>7840.5810040677088</v>
      </c>
      <c r="AD25" s="776"/>
      <c r="AE25" s="777"/>
      <c r="AF25" s="776"/>
    </row>
    <row r="26" spans="3:32">
      <c r="C26" s="20">
        <v>2</v>
      </c>
      <c r="D26" s="16" t="s">
        <v>50</v>
      </c>
      <c r="E26" s="55">
        <v>-400</v>
      </c>
      <c r="G26" s="236">
        <f t="shared" si="0"/>
        <v>-754.92121202233852</v>
      </c>
      <c r="H26" s="237"/>
      <c r="I26" s="295"/>
      <c r="J26" s="290"/>
      <c r="K26" s="769">
        <f t="shared" si="1"/>
        <v>-378.50686611455131</v>
      </c>
      <c r="L26" s="255">
        <v>1</v>
      </c>
      <c r="M26" s="256">
        <v>0</v>
      </c>
      <c r="N26" s="257">
        <f>N25*1.028^(L26-L25)-M26</f>
        <v>7440.5810040677088</v>
      </c>
      <c r="O26" s="167" t="s">
        <v>436</v>
      </c>
      <c r="P26" s="246"/>
      <c r="Q26" s="246"/>
      <c r="R26" s="246"/>
      <c r="V26" s="255">
        <v>2</v>
      </c>
      <c r="W26" s="256">
        <f t="shared" si="2"/>
        <v>-400</v>
      </c>
      <c r="X26" s="773">
        <f t="shared" si="3"/>
        <v>-400</v>
      </c>
      <c r="Y26" s="256">
        <f t="shared" ref="Y26:Y84" si="5">Z25*1.028</f>
        <v>8060.1172721816047</v>
      </c>
      <c r="Z26" s="257">
        <f t="shared" si="4"/>
        <v>8460.1172721816038</v>
      </c>
      <c r="AD26" s="776"/>
      <c r="AE26" s="777"/>
      <c r="AF26" s="776"/>
    </row>
    <row r="27" spans="3:32">
      <c r="C27" s="20">
        <v>19</v>
      </c>
      <c r="D27" s="16" t="s">
        <v>51</v>
      </c>
      <c r="E27" s="55">
        <v>-1900</v>
      </c>
      <c r="G27" s="236">
        <f t="shared" si="0"/>
        <v>-2242.3958908097866</v>
      </c>
      <c r="H27" s="237"/>
      <c r="I27" s="295"/>
      <c r="J27" s="290"/>
      <c r="K27" s="769">
        <f t="shared" si="1"/>
        <v>-1124.305725818504</v>
      </c>
      <c r="L27" s="255">
        <v>1</v>
      </c>
      <c r="M27" s="256">
        <f>E25</f>
        <v>-400</v>
      </c>
      <c r="N27" s="257">
        <f>N26*1.028^(L27-L26)-M27</f>
        <v>7840.5810040677088</v>
      </c>
      <c r="O27" s="167" t="s">
        <v>437</v>
      </c>
      <c r="P27" s="246"/>
      <c r="Q27" s="246"/>
      <c r="R27" s="246"/>
      <c r="V27" s="255">
        <v>3</v>
      </c>
      <c r="W27" s="256" t="e">
        <f t="shared" si="2"/>
        <v>#N/A</v>
      </c>
      <c r="X27" s="773">
        <f t="shared" si="3"/>
        <v>0</v>
      </c>
      <c r="Y27" s="256">
        <f t="shared" si="5"/>
        <v>8697.0005558026896</v>
      </c>
      <c r="Z27" s="257">
        <f t="shared" si="4"/>
        <v>8697.0005558026896</v>
      </c>
      <c r="AD27" s="776"/>
      <c r="AE27" s="777"/>
      <c r="AF27" s="776"/>
    </row>
    <row r="28" spans="3:32">
      <c r="C28" s="20">
        <v>20</v>
      </c>
      <c r="D28" s="16" t="s">
        <v>52</v>
      </c>
      <c r="E28" s="55">
        <v>50</v>
      </c>
      <c r="G28" s="236">
        <f t="shared" si="0"/>
        <v>57.403130524518396</v>
      </c>
      <c r="H28" s="237"/>
      <c r="I28" s="295"/>
      <c r="J28" s="290"/>
      <c r="K28" s="769">
        <f t="shared" si="1"/>
        <v>28.781121385892483</v>
      </c>
      <c r="L28" s="255">
        <v>2</v>
      </c>
      <c r="M28" s="256">
        <v>0</v>
      </c>
      <c r="N28" s="257">
        <f t="shared" ref="N28:N91" si="6">N27*1.028^(L28-L27)-M28</f>
        <v>8060.1172721816047</v>
      </c>
      <c r="O28" s="167" t="s">
        <v>438</v>
      </c>
      <c r="P28" s="246"/>
      <c r="Q28" s="246"/>
      <c r="R28" s="246"/>
      <c r="V28" s="255">
        <v>4</v>
      </c>
      <c r="W28" s="256" t="e">
        <f t="shared" si="2"/>
        <v>#N/A</v>
      </c>
      <c r="X28" s="773">
        <f t="shared" si="3"/>
        <v>0</v>
      </c>
      <c r="Y28" s="256">
        <f t="shared" si="5"/>
        <v>8940.5165713651659</v>
      </c>
      <c r="Z28" s="257">
        <f t="shared" si="4"/>
        <v>8940.5165713651659</v>
      </c>
      <c r="AD28" s="776"/>
      <c r="AE28" s="777"/>
      <c r="AF28" s="776"/>
    </row>
    <row r="29" spans="3:32">
      <c r="C29" s="20">
        <v>21</v>
      </c>
      <c r="D29" s="16" t="s">
        <v>58</v>
      </c>
      <c r="E29" s="55">
        <v>-900</v>
      </c>
      <c r="G29" s="236">
        <f t="shared" si="0"/>
        <v>-1005.1131803904</v>
      </c>
      <c r="H29" s="237"/>
      <c r="I29" s="295"/>
      <c r="J29" s="290"/>
      <c r="K29" s="769">
        <f t="shared" si="1"/>
        <v>-503.9495962510357</v>
      </c>
      <c r="L29" s="255">
        <v>2</v>
      </c>
      <c r="M29" s="256">
        <f>E26</f>
        <v>-400</v>
      </c>
      <c r="N29" s="257">
        <f t="shared" si="6"/>
        <v>8460.1172721816038</v>
      </c>
      <c r="O29" s="157"/>
      <c r="P29" s="246"/>
      <c r="Q29" s="246"/>
      <c r="R29" s="246"/>
      <c r="V29" s="255">
        <v>5</v>
      </c>
      <c r="W29" s="256" t="e">
        <f t="shared" si="2"/>
        <v>#N/A</v>
      </c>
      <c r="X29" s="773">
        <f t="shared" si="3"/>
        <v>0</v>
      </c>
      <c r="Y29" s="256">
        <f t="shared" si="5"/>
        <v>9190.8510353633901</v>
      </c>
      <c r="Z29" s="257">
        <f t="shared" si="4"/>
        <v>9190.8510353633901</v>
      </c>
      <c r="AD29" s="776"/>
      <c r="AE29" s="777"/>
      <c r="AF29" s="776"/>
    </row>
    <row r="30" spans="3:32">
      <c r="C30" s="63">
        <v>25</v>
      </c>
      <c r="D30" s="16" t="s">
        <v>52</v>
      </c>
      <c r="E30" s="64">
        <v>200</v>
      </c>
      <c r="G30" s="236"/>
      <c r="H30" s="237">
        <f>E30*1.028^(60+25-C30)</f>
        <v>1048.6169543087251</v>
      </c>
      <c r="I30" s="295"/>
      <c r="J30" s="290"/>
      <c r="K30" s="769">
        <f t="shared" si="1"/>
        <v>100.27718391978397</v>
      </c>
      <c r="L30" s="255">
        <v>3</v>
      </c>
      <c r="M30" s="256">
        <v>0</v>
      </c>
      <c r="N30" s="257">
        <f t="shared" si="6"/>
        <v>8697.0005558026896</v>
      </c>
      <c r="O30" s="157"/>
      <c r="V30" s="255">
        <v>6</v>
      </c>
      <c r="W30" s="256" t="e">
        <f t="shared" si="2"/>
        <v>#N/A</v>
      </c>
      <c r="X30" s="773">
        <f t="shared" si="3"/>
        <v>0</v>
      </c>
      <c r="Y30" s="256">
        <f t="shared" si="5"/>
        <v>9448.1948643535652</v>
      </c>
      <c r="Z30" s="257">
        <f t="shared" si="4"/>
        <v>9448.1948643535652</v>
      </c>
      <c r="AD30" s="776"/>
      <c r="AE30" s="777"/>
      <c r="AF30" s="776"/>
    </row>
    <row r="31" spans="3:32">
      <c r="C31" s="63">
        <v>30</v>
      </c>
      <c r="D31" s="16" t="s">
        <v>52</v>
      </c>
      <c r="E31" s="64">
        <v>200</v>
      </c>
      <c r="G31" s="236"/>
      <c r="H31" s="237">
        <f t="shared" ref="H31:H36" si="7">E31*1.028^(60+25-C31)</f>
        <v>913.37958812266572</v>
      </c>
      <c r="I31" s="295"/>
      <c r="J31" s="290"/>
      <c r="K31" s="769">
        <f t="shared" si="1"/>
        <v>87.344699673611814</v>
      </c>
      <c r="L31" s="255">
        <v>4</v>
      </c>
      <c r="M31" s="256">
        <v>0</v>
      </c>
      <c r="N31" s="257">
        <f t="shared" si="6"/>
        <v>8940.5165713651659</v>
      </c>
      <c r="O31" s="157"/>
      <c r="V31" s="255">
        <v>7</v>
      </c>
      <c r="W31" s="256" t="e">
        <f t="shared" si="2"/>
        <v>#N/A</v>
      </c>
      <c r="X31" s="773">
        <f t="shared" si="3"/>
        <v>0</v>
      </c>
      <c r="Y31" s="256">
        <f t="shared" si="5"/>
        <v>9712.7443205554646</v>
      </c>
      <c r="Z31" s="257">
        <f t="shared" si="4"/>
        <v>9712.7443205554646</v>
      </c>
      <c r="AD31" s="776"/>
      <c r="AE31" s="777"/>
      <c r="AF31" s="776"/>
    </row>
    <row r="32" spans="3:32">
      <c r="C32" s="63">
        <v>35</v>
      </c>
      <c r="D32" s="16" t="s">
        <v>52</v>
      </c>
      <c r="E32" s="64">
        <v>500</v>
      </c>
      <c r="G32" s="236"/>
      <c r="H32" s="237">
        <f t="shared" si="7"/>
        <v>1988.9585719818388</v>
      </c>
      <c r="I32" s="295"/>
      <c r="J32" s="290"/>
      <c r="K32" s="769">
        <f t="shared" si="1"/>
        <v>190.20020963034537</v>
      </c>
      <c r="L32" s="255">
        <v>5</v>
      </c>
      <c r="M32" s="256">
        <v>0</v>
      </c>
      <c r="N32" s="257">
        <f t="shared" si="6"/>
        <v>9190.8510353633901</v>
      </c>
      <c r="O32" s="157"/>
      <c r="V32" s="255">
        <v>8</v>
      </c>
      <c r="W32" s="256" t="e">
        <f t="shared" si="2"/>
        <v>#N/A</v>
      </c>
      <c r="X32" s="773">
        <f t="shared" si="3"/>
        <v>0</v>
      </c>
      <c r="Y32" s="256">
        <f t="shared" si="5"/>
        <v>9984.7011615310184</v>
      </c>
      <c r="Z32" s="257">
        <f t="shared" si="4"/>
        <v>9984.7011615310184</v>
      </c>
      <c r="AD32" s="776"/>
      <c r="AE32" s="777"/>
      <c r="AF32" s="776"/>
    </row>
    <row r="33" spans="3:32">
      <c r="C33" s="63">
        <v>40</v>
      </c>
      <c r="D33" s="16" t="s">
        <v>52</v>
      </c>
      <c r="E33" s="64">
        <v>1000</v>
      </c>
      <c r="G33" s="236"/>
      <c r="H33" s="237">
        <f t="shared" si="7"/>
        <v>3464.8956490836363</v>
      </c>
      <c r="I33" s="295"/>
      <c r="J33" s="290"/>
      <c r="K33" s="769">
        <f t="shared" si="1"/>
        <v>331.34117929179109</v>
      </c>
      <c r="L33" s="255">
        <v>6</v>
      </c>
      <c r="M33" s="256">
        <v>0</v>
      </c>
      <c r="N33" s="257">
        <f t="shared" si="6"/>
        <v>9448.1948643535652</v>
      </c>
      <c r="O33" s="157"/>
      <c r="V33" s="255">
        <v>9</v>
      </c>
      <c r="W33" s="256" t="e">
        <f t="shared" si="2"/>
        <v>#N/A</v>
      </c>
      <c r="X33" s="773">
        <f t="shared" si="3"/>
        <v>0</v>
      </c>
      <c r="Y33" s="256">
        <f t="shared" si="5"/>
        <v>10264.272794053888</v>
      </c>
      <c r="Z33" s="257">
        <f t="shared" si="4"/>
        <v>10264.272794053888</v>
      </c>
      <c r="AD33" s="776"/>
      <c r="AE33" s="777"/>
      <c r="AF33" s="776"/>
    </row>
    <row r="34" spans="3:32">
      <c r="C34" s="63">
        <v>45</v>
      </c>
      <c r="D34" s="16" t="s">
        <v>52</v>
      </c>
      <c r="E34" s="64">
        <v>1000</v>
      </c>
      <c r="G34" s="236"/>
      <c r="H34" s="237">
        <f t="shared" si="7"/>
        <v>3018.0371849264279</v>
      </c>
      <c r="I34" s="295"/>
      <c r="J34" s="290"/>
      <c r="K34" s="769">
        <f t="shared" si="1"/>
        <v>288.60898026307683</v>
      </c>
      <c r="L34" s="255">
        <v>7</v>
      </c>
      <c r="M34" s="256">
        <v>0</v>
      </c>
      <c r="N34" s="257">
        <f t="shared" si="6"/>
        <v>9712.7443205554646</v>
      </c>
      <c r="O34" s="157"/>
      <c r="V34" s="255">
        <v>10</v>
      </c>
      <c r="W34" s="256" t="e">
        <f t="shared" si="2"/>
        <v>#N/A</v>
      </c>
      <c r="X34" s="773">
        <f t="shared" si="3"/>
        <v>0</v>
      </c>
      <c r="Y34" s="256">
        <f t="shared" si="5"/>
        <v>10551.672432287398</v>
      </c>
      <c r="Z34" s="257">
        <f t="shared" si="4"/>
        <v>10551.672432287398</v>
      </c>
      <c r="AD34" s="776"/>
      <c r="AE34" s="777"/>
      <c r="AF34" s="776"/>
    </row>
    <row r="35" spans="3:32">
      <c r="C35" s="63">
        <v>50</v>
      </c>
      <c r="D35" s="16" t="s">
        <v>52</v>
      </c>
      <c r="E35" s="64">
        <v>2800</v>
      </c>
      <c r="G35" s="236"/>
      <c r="H35" s="237">
        <f t="shared" si="7"/>
        <v>7360.6648632033784</v>
      </c>
      <c r="I35" s="295"/>
      <c r="J35" s="290"/>
      <c r="K35" s="769">
        <f t="shared" si="1"/>
        <v>703.88595304175271</v>
      </c>
      <c r="L35" s="255">
        <v>8</v>
      </c>
      <c r="M35" s="256">
        <v>0</v>
      </c>
      <c r="N35" s="257">
        <f t="shared" si="6"/>
        <v>9984.7011615310184</v>
      </c>
      <c r="O35" s="157"/>
      <c r="V35" s="255">
        <v>11</v>
      </c>
      <c r="W35" s="256" t="e">
        <f t="shared" si="2"/>
        <v>#N/A</v>
      </c>
      <c r="X35" s="773">
        <f t="shared" si="3"/>
        <v>0</v>
      </c>
      <c r="Y35" s="256">
        <f t="shared" si="5"/>
        <v>10847.119260391446</v>
      </c>
      <c r="Z35" s="257">
        <f t="shared" si="4"/>
        <v>10847.119260391446</v>
      </c>
      <c r="AD35" s="776"/>
      <c r="AE35" s="777"/>
      <c r="AF35" s="776"/>
    </row>
    <row r="36" spans="3:32" ht="13.5" thickBot="1">
      <c r="C36" s="22">
        <v>60</v>
      </c>
      <c r="D36" s="36" t="s">
        <v>54</v>
      </c>
      <c r="E36" s="65">
        <v>37000</v>
      </c>
      <c r="G36" s="238"/>
      <c r="H36" s="239">
        <f t="shared" si="7"/>
        <v>73795.450876637886</v>
      </c>
      <c r="I36" s="295"/>
      <c r="J36" s="290"/>
      <c r="K36" s="770">
        <f t="shared" si="1"/>
        <v>7056.9143189929337</v>
      </c>
      <c r="L36" s="255">
        <v>9</v>
      </c>
      <c r="M36" s="256">
        <v>0</v>
      </c>
      <c r="N36" s="257">
        <f t="shared" si="6"/>
        <v>10264.272794053888</v>
      </c>
      <c r="O36" s="157"/>
      <c r="V36" s="255">
        <v>12</v>
      </c>
      <c r="W36" s="256" t="e">
        <f t="shared" si="2"/>
        <v>#N/A</v>
      </c>
      <c r="X36" s="773">
        <f t="shared" si="3"/>
        <v>0</v>
      </c>
      <c r="Y36" s="256">
        <f t="shared" si="5"/>
        <v>11150.838599682407</v>
      </c>
      <c r="Z36" s="257">
        <f t="shared" si="4"/>
        <v>11150.838599682407</v>
      </c>
      <c r="AD36" s="776"/>
      <c r="AE36" s="777"/>
      <c r="AF36" s="776"/>
    </row>
    <row r="37" spans="3:32">
      <c r="I37" s="292"/>
      <c r="J37" s="222"/>
      <c r="L37" s="255">
        <v>10</v>
      </c>
      <c r="M37" s="256">
        <v>0</v>
      </c>
      <c r="N37" s="257">
        <f t="shared" si="6"/>
        <v>10551.672432287398</v>
      </c>
      <c r="O37" s="157"/>
      <c r="V37" s="255">
        <v>13</v>
      </c>
      <c r="W37" s="256" t="e">
        <f t="shared" si="2"/>
        <v>#N/A</v>
      </c>
      <c r="X37" s="773">
        <f t="shared" si="3"/>
        <v>0</v>
      </c>
      <c r="Y37" s="256">
        <f t="shared" si="5"/>
        <v>11463.062080473515</v>
      </c>
      <c r="Z37" s="257">
        <f t="shared" si="4"/>
        <v>11463.062080473515</v>
      </c>
      <c r="AD37" s="776"/>
      <c r="AE37" s="777"/>
      <c r="AF37" s="776"/>
    </row>
    <row r="38" spans="3:32">
      <c r="F38">
        <v>1</v>
      </c>
      <c r="G38" s="242" t="s">
        <v>287</v>
      </c>
      <c r="H38" s="243">
        <f>SUM(G24:H36)/(1.028^(60)-1)</f>
        <v>19156.910903091808</v>
      </c>
      <c r="L38" s="255">
        <v>11</v>
      </c>
      <c r="M38" s="256">
        <v>0</v>
      </c>
      <c r="N38" s="257">
        <f t="shared" si="6"/>
        <v>10847.119260391446</v>
      </c>
      <c r="O38" s="157"/>
      <c r="V38" s="255">
        <v>14</v>
      </c>
      <c r="W38" s="256" t="e">
        <f t="shared" si="2"/>
        <v>#N/A</v>
      </c>
      <c r="X38" s="773">
        <f t="shared" si="3"/>
        <v>0</v>
      </c>
      <c r="Y38" s="256">
        <f t="shared" si="5"/>
        <v>11784.027818726774</v>
      </c>
      <c r="Z38" s="257">
        <f t="shared" si="4"/>
        <v>11784.027818726774</v>
      </c>
      <c r="AD38" s="776"/>
      <c r="AE38" s="777"/>
      <c r="AF38" s="776"/>
    </row>
    <row r="39" spans="3:32">
      <c r="F39">
        <v>2</v>
      </c>
      <c r="G39" s="244" t="s">
        <v>544</v>
      </c>
      <c r="H39" s="767">
        <f>SUM(K24:K36)</f>
        <v>3591.4863996493382</v>
      </c>
      <c r="L39" s="255">
        <v>12</v>
      </c>
      <c r="M39" s="256">
        <v>0</v>
      </c>
      <c r="N39" s="257">
        <f t="shared" si="6"/>
        <v>11150.838599682407</v>
      </c>
      <c r="O39" s="157"/>
      <c r="V39" s="255">
        <v>15</v>
      </c>
      <c r="W39" s="256" t="e">
        <f t="shared" si="2"/>
        <v>#N/A</v>
      </c>
      <c r="X39" s="773">
        <f t="shared" si="3"/>
        <v>0</v>
      </c>
      <c r="Y39" s="256">
        <f t="shared" si="5"/>
        <v>12113.980597651123</v>
      </c>
      <c r="Z39" s="257">
        <f t="shared" si="4"/>
        <v>12113.980597651123</v>
      </c>
      <c r="AD39" s="776"/>
      <c r="AE39" s="777"/>
      <c r="AF39" s="776"/>
    </row>
    <row r="40" spans="3:32">
      <c r="G40" s="244" t="s">
        <v>545</v>
      </c>
      <c r="H40" s="245">
        <f>H39*(1.028^C36)/(1.028^C36-1)</f>
        <v>4437.9192646573038</v>
      </c>
      <c r="L40" s="255">
        <v>13</v>
      </c>
      <c r="M40" s="256">
        <v>0</v>
      </c>
      <c r="N40" s="257">
        <f t="shared" si="6"/>
        <v>11463.062080473515</v>
      </c>
      <c r="V40" s="255">
        <v>16</v>
      </c>
      <c r="W40" s="256" t="e">
        <f t="shared" si="2"/>
        <v>#N/A</v>
      </c>
      <c r="X40" s="773">
        <f t="shared" si="3"/>
        <v>0</v>
      </c>
      <c r="Y40" s="256">
        <f t="shared" si="5"/>
        <v>12453.172054385355</v>
      </c>
      <c r="Z40" s="257">
        <f t="shared" si="4"/>
        <v>12453.172054385355</v>
      </c>
      <c r="AD40" s="776"/>
      <c r="AE40" s="777"/>
      <c r="AF40" s="776"/>
    </row>
    <row r="41" spans="3:32">
      <c r="G41" s="244" t="s">
        <v>286</v>
      </c>
      <c r="H41" s="245">
        <f>0.6*H40</f>
        <v>2662.7515587943822</v>
      </c>
      <c r="I41" s="48"/>
      <c r="L41" s="255">
        <v>14</v>
      </c>
      <c r="M41" s="256">
        <v>0</v>
      </c>
      <c r="N41" s="257">
        <f t="shared" si="6"/>
        <v>11784.027818726774</v>
      </c>
      <c r="O41" s="157"/>
      <c r="V41" s="255">
        <v>17</v>
      </c>
      <c r="W41" s="256" t="e">
        <f t="shared" si="2"/>
        <v>#N/A</v>
      </c>
      <c r="X41" s="773">
        <f t="shared" si="3"/>
        <v>0</v>
      </c>
      <c r="Y41" s="256">
        <f t="shared" si="5"/>
        <v>12801.860871908146</v>
      </c>
      <c r="Z41" s="257">
        <f t="shared" si="4"/>
        <v>12801.860871908146</v>
      </c>
      <c r="AD41" s="776"/>
      <c r="AE41" s="777"/>
      <c r="AF41" s="776"/>
    </row>
    <row r="42" spans="3:32">
      <c r="F42">
        <v>2</v>
      </c>
      <c r="G42" s="244" t="s">
        <v>433</v>
      </c>
      <c r="H42" s="245">
        <f>H38*0.6-H41</f>
        <v>8831.3949830607035</v>
      </c>
      <c r="I42" s="48"/>
      <c r="L42" s="255">
        <v>15</v>
      </c>
      <c r="M42" s="256">
        <v>0</v>
      </c>
      <c r="N42" s="257">
        <f t="shared" si="6"/>
        <v>12113.980597651123</v>
      </c>
      <c r="V42" s="255">
        <v>18</v>
      </c>
      <c r="W42" s="256" t="e">
        <f t="shared" si="2"/>
        <v>#N/A</v>
      </c>
      <c r="X42" s="773">
        <f t="shared" si="3"/>
        <v>0</v>
      </c>
      <c r="Y42" s="256">
        <f t="shared" si="5"/>
        <v>13160.312976321575</v>
      </c>
      <c r="Z42" s="257">
        <f t="shared" si="4"/>
        <v>13160.312976321575</v>
      </c>
      <c r="AD42" s="776"/>
      <c r="AE42" s="777"/>
      <c r="AF42" s="776"/>
    </row>
    <row r="43" spans="3:32">
      <c r="L43" s="255">
        <v>16</v>
      </c>
      <c r="M43" s="256">
        <v>0</v>
      </c>
      <c r="N43" s="257">
        <f t="shared" si="6"/>
        <v>12453.172054385355</v>
      </c>
      <c r="V43" s="255">
        <v>19</v>
      </c>
      <c r="W43" s="256">
        <f t="shared" si="2"/>
        <v>-1900</v>
      </c>
      <c r="X43" s="773">
        <f t="shared" si="3"/>
        <v>-1900</v>
      </c>
      <c r="Y43" s="256">
        <f t="shared" si="5"/>
        <v>13528.801739658578</v>
      </c>
      <c r="Z43" s="257">
        <f t="shared" si="4"/>
        <v>15428.801739658578</v>
      </c>
      <c r="AD43" s="776"/>
      <c r="AE43" s="777"/>
      <c r="AF43" s="776"/>
    </row>
    <row r="44" spans="3:32">
      <c r="G44" s="264" t="s">
        <v>439</v>
      </c>
      <c r="H44" s="263"/>
      <c r="I44" s="263"/>
      <c r="J44" s="263"/>
      <c r="L44" s="255">
        <v>17</v>
      </c>
      <c r="M44" s="256">
        <v>0</v>
      </c>
      <c r="N44" s="257">
        <f t="shared" si="6"/>
        <v>12801.860871908146</v>
      </c>
      <c r="V44" s="255">
        <v>20</v>
      </c>
      <c r="W44" s="256">
        <f t="shared" si="2"/>
        <v>50</v>
      </c>
      <c r="X44" s="773">
        <f t="shared" si="3"/>
        <v>50</v>
      </c>
      <c r="Y44" s="256">
        <f t="shared" si="5"/>
        <v>15860.808188369019</v>
      </c>
      <c r="Z44" s="257">
        <f t="shared" si="4"/>
        <v>15810.808188369019</v>
      </c>
      <c r="AD44" s="776"/>
      <c r="AE44" s="777"/>
      <c r="AF44" s="776"/>
    </row>
    <row r="45" spans="3:32" ht="12.75" customHeight="1">
      <c r="G45" s="791" t="s">
        <v>546</v>
      </c>
      <c r="H45" s="791"/>
      <c r="I45" s="791"/>
      <c r="J45" s="791"/>
      <c r="L45" s="255">
        <v>18</v>
      </c>
      <c r="M45" s="256">
        <v>0</v>
      </c>
      <c r="N45" s="257">
        <f t="shared" si="6"/>
        <v>13160.312976321575</v>
      </c>
      <c r="V45" s="255">
        <v>21</v>
      </c>
      <c r="W45" s="256">
        <f t="shared" si="2"/>
        <v>-900</v>
      </c>
      <c r="X45" s="773">
        <f t="shared" si="3"/>
        <v>-900</v>
      </c>
      <c r="Y45" s="256">
        <f t="shared" si="5"/>
        <v>16253.510817643351</v>
      </c>
      <c r="Z45" s="257">
        <f t="shared" si="4"/>
        <v>17153.51081764335</v>
      </c>
      <c r="AD45" s="776"/>
      <c r="AE45" s="777"/>
      <c r="AF45" s="776"/>
    </row>
    <row r="46" spans="3:32">
      <c r="G46" s="791"/>
      <c r="H46" s="791"/>
      <c r="I46" s="791"/>
      <c r="J46" s="791"/>
      <c r="L46" s="255">
        <v>19</v>
      </c>
      <c r="M46" s="256">
        <v>0</v>
      </c>
      <c r="N46" s="257">
        <f t="shared" si="6"/>
        <v>13528.801739658578</v>
      </c>
      <c r="V46" s="255">
        <v>22</v>
      </c>
      <c r="W46" s="256" t="e">
        <f t="shared" si="2"/>
        <v>#N/A</v>
      </c>
      <c r="X46" s="773">
        <f t="shared" si="3"/>
        <v>0</v>
      </c>
      <c r="Y46" s="256">
        <f t="shared" si="5"/>
        <v>17633.809120537364</v>
      </c>
      <c r="Z46" s="257">
        <f t="shared" si="4"/>
        <v>17633.809120537364</v>
      </c>
      <c r="AD46" s="776"/>
      <c r="AE46" s="777"/>
      <c r="AF46" s="776"/>
    </row>
    <row r="47" spans="3:32">
      <c r="G47" s="791"/>
      <c r="H47" s="791"/>
      <c r="I47" s="791"/>
      <c r="J47" s="791"/>
      <c r="L47" s="255">
        <v>19</v>
      </c>
      <c r="M47" s="256">
        <f>E27</f>
        <v>-1900</v>
      </c>
      <c r="N47" s="257">
        <f t="shared" si="6"/>
        <v>15428.801739658578</v>
      </c>
      <c r="V47" s="255">
        <v>23</v>
      </c>
      <c r="W47" s="256" t="e">
        <f t="shared" si="2"/>
        <v>#N/A</v>
      </c>
      <c r="X47" s="773">
        <f t="shared" si="3"/>
        <v>0</v>
      </c>
      <c r="Y47" s="256">
        <f t="shared" si="5"/>
        <v>18127.555775912409</v>
      </c>
      <c r="Z47" s="257">
        <f t="shared" si="4"/>
        <v>18127.555775912409</v>
      </c>
      <c r="AD47" s="776"/>
      <c r="AE47" s="777"/>
      <c r="AF47" s="776"/>
    </row>
    <row r="48" spans="3:32">
      <c r="G48" s="791"/>
      <c r="H48" s="791"/>
      <c r="I48" s="791"/>
      <c r="J48" s="791"/>
      <c r="L48" s="255">
        <v>20</v>
      </c>
      <c r="M48" s="256">
        <v>0</v>
      </c>
      <c r="N48" s="257">
        <f t="shared" si="6"/>
        <v>15860.808188369019</v>
      </c>
      <c r="V48" s="255">
        <v>24</v>
      </c>
      <c r="W48" s="256" t="e">
        <f t="shared" si="2"/>
        <v>#N/A</v>
      </c>
      <c r="X48" s="773">
        <f t="shared" si="3"/>
        <v>0</v>
      </c>
      <c r="Y48" s="256">
        <f t="shared" si="5"/>
        <v>18635.127337637958</v>
      </c>
      <c r="Z48" s="257">
        <f t="shared" si="4"/>
        <v>18635.127337637958</v>
      </c>
      <c r="AD48" s="776"/>
      <c r="AE48" s="777"/>
      <c r="AF48" s="776"/>
    </row>
    <row r="49" spans="3:32">
      <c r="G49" s="791"/>
      <c r="H49" s="791"/>
      <c r="I49" s="791"/>
      <c r="J49" s="791"/>
      <c r="L49" s="255">
        <v>20</v>
      </c>
      <c r="M49" s="256">
        <f>E28</f>
        <v>50</v>
      </c>
      <c r="N49" s="257">
        <f>N48*1.028^(L49-L48)-M49</f>
        <v>15810.808188369019</v>
      </c>
      <c r="V49" s="255">
        <v>25</v>
      </c>
      <c r="W49" s="256">
        <f t="shared" si="2"/>
        <v>200</v>
      </c>
      <c r="X49" s="773">
        <f t="shared" si="3"/>
        <v>200</v>
      </c>
      <c r="Y49" s="256">
        <f t="shared" si="5"/>
        <v>19156.910903091823</v>
      </c>
      <c r="Z49" s="257">
        <f t="shared" si="4"/>
        <v>18956.910903091823</v>
      </c>
      <c r="AD49" s="776"/>
      <c r="AE49" s="777"/>
      <c r="AF49" s="776"/>
    </row>
    <row r="50" spans="3:32">
      <c r="G50" s="791"/>
      <c r="H50" s="791"/>
      <c r="I50" s="791"/>
      <c r="J50" s="791"/>
      <c r="L50" s="255">
        <v>21</v>
      </c>
      <c r="M50" s="256">
        <v>0</v>
      </c>
      <c r="N50" s="257">
        <f t="shared" si="6"/>
        <v>16253.510817643351</v>
      </c>
      <c r="V50" s="255">
        <v>26</v>
      </c>
      <c r="W50" s="256" t="e">
        <f t="shared" si="2"/>
        <v>#N/A</v>
      </c>
      <c r="X50" s="773">
        <f t="shared" si="3"/>
        <v>0</v>
      </c>
      <c r="Y50" s="256">
        <f t="shared" si="5"/>
        <v>19487.704408378395</v>
      </c>
      <c r="Z50" s="257">
        <f t="shared" si="4"/>
        <v>19487.704408378395</v>
      </c>
      <c r="AD50" s="776"/>
      <c r="AE50" s="777"/>
      <c r="AF50" s="776"/>
    </row>
    <row r="51" spans="3:32">
      <c r="G51" s="791"/>
      <c r="H51" s="791"/>
      <c r="I51" s="791"/>
      <c r="J51" s="791"/>
      <c r="L51" s="255">
        <v>21</v>
      </c>
      <c r="M51" s="256">
        <f>E29</f>
        <v>-900</v>
      </c>
      <c r="N51" s="257">
        <f t="shared" si="6"/>
        <v>17153.51081764335</v>
      </c>
      <c r="V51" s="255">
        <v>27</v>
      </c>
      <c r="W51" s="256" t="e">
        <f t="shared" si="2"/>
        <v>#N/A</v>
      </c>
      <c r="X51" s="773">
        <f t="shared" si="3"/>
        <v>0</v>
      </c>
      <c r="Y51" s="256">
        <f t="shared" si="5"/>
        <v>20033.360131812991</v>
      </c>
      <c r="Z51" s="257">
        <f t="shared" si="4"/>
        <v>20033.360131812991</v>
      </c>
      <c r="AD51" s="776"/>
      <c r="AE51" s="777"/>
      <c r="AF51" s="776"/>
    </row>
    <row r="52" spans="3:32" ht="12.75" customHeight="1">
      <c r="C52" s="790" t="s">
        <v>339</v>
      </c>
      <c r="D52" s="790"/>
      <c r="E52" s="790"/>
      <c r="F52" s="790"/>
      <c r="G52" s="791"/>
      <c r="H52" s="791"/>
      <c r="I52" s="791"/>
      <c r="J52" s="791"/>
      <c r="L52" s="255">
        <v>22</v>
      </c>
      <c r="M52" s="258"/>
      <c r="N52" s="257">
        <f t="shared" si="6"/>
        <v>17633.809120537364</v>
      </c>
      <c r="V52" s="255">
        <v>28</v>
      </c>
      <c r="W52" s="256" t="e">
        <f t="shared" si="2"/>
        <v>#N/A</v>
      </c>
      <c r="X52" s="773">
        <f t="shared" si="3"/>
        <v>0</v>
      </c>
      <c r="Y52" s="256">
        <f t="shared" si="5"/>
        <v>20594.294215503756</v>
      </c>
      <c r="Z52" s="257">
        <f t="shared" si="4"/>
        <v>20594.294215503756</v>
      </c>
      <c r="AD52" s="776"/>
      <c r="AE52" s="777"/>
      <c r="AF52" s="776"/>
    </row>
    <row r="53" spans="3:32">
      <c r="C53" s="790"/>
      <c r="D53" s="790"/>
      <c r="E53" s="790"/>
      <c r="F53" s="790"/>
      <c r="G53" s="791"/>
      <c r="H53" s="791"/>
      <c r="I53" s="791"/>
      <c r="J53" s="791"/>
      <c r="L53" s="255">
        <v>23</v>
      </c>
      <c r="M53" s="258"/>
      <c r="N53" s="257">
        <f t="shared" si="6"/>
        <v>18127.555775912409</v>
      </c>
      <c r="V53" s="255">
        <v>29</v>
      </c>
      <c r="W53" s="256" t="e">
        <f t="shared" si="2"/>
        <v>#N/A</v>
      </c>
      <c r="X53" s="773">
        <f t="shared" si="3"/>
        <v>0</v>
      </c>
      <c r="Y53" s="256">
        <f t="shared" si="5"/>
        <v>21170.934453537862</v>
      </c>
      <c r="Z53" s="257">
        <f t="shared" si="4"/>
        <v>21170.934453537862</v>
      </c>
      <c r="AD53" s="776"/>
      <c r="AE53" s="777"/>
      <c r="AF53" s="776"/>
    </row>
    <row r="54" spans="3:32">
      <c r="C54" s="790"/>
      <c r="D54" s="790"/>
      <c r="E54" s="790"/>
      <c r="F54" s="790"/>
      <c r="G54" s="791"/>
      <c r="H54" s="791"/>
      <c r="I54" s="791"/>
      <c r="J54" s="791"/>
      <c r="L54" s="255">
        <v>24</v>
      </c>
      <c r="M54" s="258"/>
      <c r="N54" s="257">
        <f t="shared" si="6"/>
        <v>18635.127337637958</v>
      </c>
      <c r="V54" s="255">
        <v>30</v>
      </c>
      <c r="W54" s="256">
        <f t="shared" si="2"/>
        <v>200</v>
      </c>
      <c r="X54" s="773">
        <f t="shared" si="3"/>
        <v>200</v>
      </c>
      <c r="Y54" s="256">
        <f t="shared" si="5"/>
        <v>21763.720618236923</v>
      </c>
      <c r="Z54" s="257">
        <f t="shared" si="4"/>
        <v>21563.720618236923</v>
      </c>
      <c r="AD54" s="776"/>
      <c r="AE54" s="777"/>
      <c r="AF54" s="776"/>
    </row>
    <row r="55" spans="3:32">
      <c r="C55" s="790"/>
      <c r="D55" s="790"/>
      <c r="E55" s="790"/>
      <c r="F55" s="790"/>
      <c r="G55" s="791"/>
      <c r="H55" s="791"/>
      <c r="I55" s="791"/>
      <c r="J55" s="791"/>
      <c r="L55" s="255">
        <v>25</v>
      </c>
      <c r="M55" s="258">
        <v>0</v>
      </c>
      <c r="N55" s="257">
        <f t="shared" si="6"/>
        <v>19156.910903091823</v>
      </c>
      <c r="V55" s="255">
        <v>31</v>
      </c>
      <c r="W55" s="256" t="e">
        <f t="shared" si="2"/>
        <v>#N/A</v>
      </c>
      <c r="X55" s="773">
        <f t="shared" si="3"/>
        <v>0</v>
      </c>
      <c r="Y55" s="256">
        <f t="shared" si="5"/>
        <v>22167.504795547557</v>
      </c>
      <c r="Z55" s="257">
        <f t="shared" si="4"/>
        <v>22167.504795547557</v>
      </c>
      <c r="AD55" s="776"/>
      <c r="AE55" s="777"/>
      <c r="AF55" s="776"/>
    </row>
    <row r="56" spans="3:32">
      <c r="C56" s="766"/>
      <c r="D56" s="766"/>
      <c r="E56" s="766"/>
      <c r="F56" s="766"/>
      <c r="G56" s="791"/>
      <c r="H56" s="791"/>
      <c r="I56" s="791"/>
      <c r="J56" s="791"/>
      <c r="L56" s="255">
        <v>25</v>
      </c>
      <c r="M56" s="258">
        <f>E30</f>
        <v>200</v>
      </c>
      <c r="N56" s="257">
        <f t="shared" si="6"/>
        <v>18956.910903091823</v>
      </c>
      <c r="V56" s="255">
        <v>32</v>
      </c>
      <c r="W56" s="256" t="e">
        <f t="shared" si="2"/>
        <v>#N/A</v>
      </c>
      <c r="X56" s="773">
        <f t="shared" si="3"/>
        <v>0</v>
      </c>
      <c r="Y56" s="256">
        <f t="shared" si="5"/>
        <v>22788.19492982289</v>
      </c>
      <c r="Z56" s="257">
        <f t="shared" si="4"/>
        <v>22788.19492982289</v>
      </c>
      <c r="AD56" s="776"/>
      <c r="AE56" s="777"/>
      <c r="AF56" s="776"/>
    </row>
    <row r="57" spans="3:32">
      <c r="C57" s="766"/>
      <c r="D57" s="766"/>
      <c r="E57" s="766"/>
      <c r="F57" s="766"/>
      <c r="G57" s="791"/>
      <c r="H57" s="791"/>
      <c r="I57" s="791"/>
      <c r="J57" s="791"/>
      <c r="L57" s="255">
        <v>26</v>
      </c>
      <c r="M57" s="258"/>
      <c r="N57" s="257">
        <f t="shared" si="6"/>
        <v>19487.704408378395</v>
      </c>
      <c r="V57" s="255">
        <v>33</v>
      </c>
      <c r="W57" s="256" t="e">
        <f t="shared" si="2"/>
        <v>#N/A</v>
      </c>
      <c r="X57" s="773">
        <f t="shared" si="3"/>
        <v>0</v>
      </c>
      <c r="Y57" s="256">
        <f t="shared" si="5"/>
        <v>23426.264387857933</v>
      </c>
      <c r="Z57" s="257">
        <f t="shared" si="4"/>
        <v>23426.264387857933</v>
      </c>
      <c r="AD57" s="776"/>
      <c r="AE57" s="777"/>
      <c r="AF57" s="776"/>
    </row>
    <row r="58" spans="3:32">
      <c r="G58" s="791"/>
      <c r="H58" s="791"/>
      <c r="I58" s="791"/>
      <c r="J58" s="791"/>
      <c r="L58" s="255">
        <v>27</v>
      </c>
      <c r="M58" s="258"/>
      <c r="N58" s="257">
        <f t="shared" si="6"/>
        <v>20033.360131812991</v>
      </c>
      <c r="V58" s="255">
        <v>34</v>
      </c>
      <c r="W58" s="256" t="e">
        <f t="shared" si="2"/>
        <v>#N/A</v>
      </c>
      <c r="X58" s="773">
        <f t="shared" si="3"/>
        <v>0</v>
      </c>
      <c r="Y58" s="256">
        <f t="shared" si="5"/>
        <v>24082.199790717954</v>
      </c>
      <c r="Z58" s="257">
        <f t="shared" si="4"/>
        <v>24082.199790717954</v>
      </c>
      <c r="AD58" s="776"/>
      <c r="AE58" s="777"/>
      <c r="AF58" s="776"/>
    </row>
    <row r="59" spans="3:32">
      <c r="G59" s="791"/>
      <c r="H59" s="791"/>
      <c r="I59" s="791"/>
      <c r="J59" s="791"/>
      <c r="L59" s="255">
        <v>28</v>
      </c>
      <c r="M59" s="258"/>
      <c r="N59" s="257">
        <f t="shared" si="6"/>
        <v>20594.294215503756</v>
      </c>
      <c r="V59" s="255">
        <v>35</v>
      </c>
      <c r="W59" s="256">
        <f t="shared" si="2"/>
        <v>500</v>
      </c>
      <c r="X59" s="773">
        <f t="shared" si="3"/>
        <v>500</v>
      </c>
      <c r="Y59" s="256">
        <f t="shared" si="5"/>
        <v>24756.501384858057</v>
      </c>
      <c r="Z59" s="257">
        <f t="shared" si="4"/>
        <v>24256.501384858057</v>
      </c>
      <c r="AD59" s="776"/>
      <c r="AE59" s="777"/>
      <c r="AF59" s="776"/>
    </row>
    <row r="60" spans="3:32">
      <c r="G60" s="791"/>
      <c r="H60" s="791"/>
      <c r="I60" s="791"/>
      <c r="J60" s="791"/>
      <c r="L60" s="255">
        <v>29</v>
      </c>
      <c r="M60" s="258"/>
      <c r="N60" s="257">
        <f t="shared" si="6"/>
        <v>21170.934453537862</v>
      </c>
      <c r="V60" s="255">
        <v>36</v>
      </c>
      <c r="W60" s="256" t="e">
        <f t="shared" si="2"/>
        <v>#N/A</v>
      </c>
      <c r="X60" s="773">
        <f t="shared" si="3"/>
        <v>0</v>
      </c>
      <c r="Y60" s="256">
        <f t="shared" si="5"/>
        <v>24935.683423634084</v>
      </c>
      <c r="Z60" s="257">
        <f t="shared" si="4"/>
        <v>24935.683423634084</v>
      </c>
      <c r="AD60" s="776"/>
      <c r="AE60" s="777"/>
      <c r="AF60" s="776"/>
    </row>
    <row r="61" spans="3:32">
      <c r="G61" s="791"/>
      <c r="H61" s="791"/>
      <c r="I61" s="791"/>
      <c r="J61" s="791"/>
      <c r="L61" s="255">
        <v>30</v>
      </c>
      <c r="M61" s="258">
        <v>0</v>
      </c>
      <c r="N61" s="257">
        <f t="shared" si="6"/>
        <v>21763.720618236923</v>
      </c>
      <c r="V61" s="255">
        <v>37</v>
      </c>
      <c r="W61" s="256" t="e">
        <f t="shared" si="2"/>
        <v>#N/A</v>
      </c>
      <c r="X61" s="773">
        <f t="shared" si="3"/>
        <v>0</v>
      </c>
      <c r="Y61" s="256">
        <f t="shared" si="5"/>
        <v>25633.88255949584</v>
      </c>
      <c r="Z61" s="257">
        <f t="shared" si="4"/>
        <v>25633.88255949584</v>
      </c>
      <c r="AD61" s="776"/>
      <c r="AE61" s="777"/>
      <c r="AF61" s="776"/>
    </row>
    <row r="62" spans="3:32">
      <c r="G62" s="791"/>
      <c r="H62" s="791"/>
      <c r="I62" s="791"/>
      <c r="J62" s="791"/>
      <c r="L62" s="255">
        <v>30</v>
      </c>
      <c r="M62" s="258">
        <f>E31</f>
        <v>200</v>
      </c>
      <c r="N62" s="257">
        <f t="shared" si="6"/>
        <v>21563.720618236923</v>
      </c>
      <c r="V62" s="255">
        <v>38</v>
      </c>
      <c r="W62" s="256" t="e">
        <f t="shared" si="2"/>
        <v>#N/A</v>
      </c>
      <c r="X62" s="773">
        <f t="shared" si="3"/>
        <v>0</v>
      </c>
      <c r="Y62" s="256">
        <f t="shared" si="5"/>
        <v>26351.631271161725</v>
      </c>
      <c r="Z62" s="257">
        <f t="shared" si="4"/>
        <v>26351.631271161725</v>
      </c>
      <c r="AD62" s="776"/>
      <c r="AE62" s="777"/>
      <c r="AF62" s="776"/>
    </row>
    <row r="63" spans="3:32">
      <c r="G63" s="791"/>
      <c r="H63" s="791"/>
      <c r="I63" s="791"/>
      <c r="J63" s="791"/>
      <c r="L63" s="255">
        <v>31</v>
      </c>
      <c r="M63" s="258"/>
      <c r="N63" s="257">
        <f t="shared" si="6"/>
        <v>22167.504795547557</v>
      </c>
      <c r="V63" s="255">
        <v>39</v>
      </c>
      <c r="W63" s="256" t="e">
        <f t="shared" si="2"/>
        <v>#N/A</v>
      </c>
      <c r="X63" s="773">
        <f t="shared" si="3"/>
        <v>0</v>
      </c>
      <c r="Y63" s="256">
        <f t="shared" si="5"/>
        <v>27089.476946754254</v>
      </c>
      <c r="Z63" s="257">
        <f t="shared" si="4"/>
        <v>27089.476946754254</v>
      </c>
      <c r="AD63" s="776"/>
      <c r="AE63" s="777"/>
      <c r="AF63" s="776"/>
    </row>
    <row r="64" spans="3:32">
      <c r="G64" s="791"/>
      <c r="H64" s="791"/>
      <c r="I64" s="791"/>
      <c r="J64" s="791"/>
      <c r="L64" s="255">
        <v>32</v>
      </c>
      <c r="M64" s="258"/>
      <c r="N64" s="257">
        <f t="shared" si="6"/>
        <v>22788.19492982289</v>
      </c>
      <c r="V64" s="255">
        <v>40</v>
      </c>
      <c r="W64" s="256">
        <f t="shared" si="2"/>
        <v>1000</v>
      </c>
      <c r="X64" s="773">
        <f t="shared" si="3"/>
        <v>1000</v>
      </c>
      <c r="Y64" s="256">
        <f t="shared" si="5"/>
        <v>27847.982301263375</v>
      </c>
      <c r="Z64" s="257">
        <f t="shared" si="4"/>
        <v>26847.982301263375</v>
      </c>
      <c r="AD64" s="776"/>
      <c r="AE64" s="777"/>
      <c r="AF64" s="776"/>
    </row>
    <row r="65" spans="7:32">
      <c r="G65" s="791"/>
      <c r="H65" s="791"/>
      <c r="I65" s="791"/>
      <c r="J65" s="791"/>
      <c r="L65" s="255">
        <v>33</v>
      </c>
      <c r="M65" s="258"/>
      <c r="N65" s="257">
        <f t="shared" si="6"/>
        <v>23426.264387857933</v>
      </c>
      <c r="V65" s="255">
        <v>41</v>
      </c>
      <c r="W65" s="256" t="e">
        <f t="shared" si="2"/>
        <v>#N/A</v>
      </c>
      <c r="X65" s="773">
        <f t="shared" si="3"/>
        <v>0</v>
      </c>
      <c r="Y65" s="256">
        <f t="shared" si="5"/>
        <v>27599.725805698752</v>
      </c>
      <c r="Z65" s="257">
        <f t="shared" si="4"/>
        <v>27599.725805698752</v>
      </c>
      <c r="AD65" s="776"/>
      <c r="AE65" s="777"/>
      <c r="AF65" s="776"/>
    </row>
    <row r="66" spans="7:32">
      <c r="G66" s="791"/>
      <c r="H66" s="791"/>
      <c r="I66" s="791"/>
      <c r="J66" s="791"/>
      <c r="L66" s="255">
        <v>34</v>
      </c>
      <c r="M66" s="258"/>
      <c r="N66" s="257">
        <f t="shared" si="6"/>
        <v>24082.199790717954</v>
      </c>
      <c r="V66" s="255">
        <v>42</v>
      </c>
      <c r="W66" s="256" t="e">
        <f t="shared" si="2"/>
        <v>#N/A</v>
      </c>
      <c r="X66" s="773">
        <f t="shared" si="3"/>
        <v>0</v>
      </c>
      <c r="Y66" s="256">
        <f t="shared" si="5"/>
        <v>28372.518128258318</v>
      </c>
      <c r="Z66" s="257">
        <f t="shared" si="4"/>
        <v>28372.518128258318</v>
      </c>
      <c r="AD66" s="776"/>
      <c r="AE66" s="777"/>
      <c r="AF66" s="776"/>
    </row>
    <row r="67" spans="7:32">
      <c r="G67" s="791"/>
      <c r="H67" s="791"/>
      <c r="I67" s="791"/>
      <c r="J67" s="791"/>
      <c r="L67" s="255">
        <v>35</v>
      </c>
      <c r="M67" s="258">
        <v>0</v>
      </c>
      <c r="N67" s="257">
        <f t="shared" si="6"/>
        <v>24756.501384858057</v>
      </c>
      <c r="V67" s="255">
        <v>43</v>
      </c>
      <c r="W67" s="256" t="e">
        <f t="shared" si="2"/>
        <v>#N/A</v>
      </c>
      <c r="X67" s="773">
        <f t="shared" si="3"/>
        <v>0</v>
      </c>
      <c r="Y67" s="256">
        <f t="shared" si="5"/>
        <v>29166.948635849552</v>
      </c>
      <c r="Z67" s="257">
        <f t="shared" si="4"/>
        <v>29166.948635849552</v>
      </c>
      <c r="AD67" s="776"/>
      <c r="AE67" s="777"/>
      <c r="AF67" s="776"/>
    </row>
    <row r="68" spans="7:32">
      <c r="G68" s="791"/>
      <c r="H68" s="791"/>
      <c r="I68" s="791"/>
      <c r="J68" s="791"/>
      <c r="L68" s="255">
        <v>35</v>
      </c>
      <c r="M68" s="258">
        <f>E32</f>
        <v>500</v>
      </c>
      <c r="N68" s="257">
        <f t="shared" si="6"/>
        <v>24256.501384858057</v>
      </c>
      <c r="V68" s="255">
        <v>44</v>
      </c>
      <c r="W68" s="256" t="e">
        <f t="shared" si="2"/>
        <v>#N/A</v>
      </c>
      <c r="X68" s="773">
        <f t="shared" si="3"/>
        <v>0</v>
      </c>
      <c r="Y68" s="256">
        <f t="shared" si="5"/>
        <v>29983.623197653342</v>
      </c>
      <c r="Z68" s="257">
        <f t="shared" si="4"/>
        <v>29983.623197653342</v>
      </c>
      <c r="AD68" s="776"/>
      <c r="AE68" s="777"/>
      <c r="AF68" s="776"/>
    </row>
    <row r="69" spans="7:32">
      <c r="G69" s="791"/>
      <c r="H69" s="791"/>
      <c r="I69" s="791"/>
      <c r="J69" s="791"/>
      <c r="L69" s="255">
        <v>36</v>
      </c>
      <c r="M69" s="258"/>
      <c r="N69" s="257">
        <f t="shared" si="6"/>
        <v>24935.683423634084</v>
      </c>
      <c r="V69" s="255">
        <v>45</v>
      </c>
      <c r="W69" s="256">
        <f t="shared" si="2"/>
        <v>1000</v>
      </c>
      <c r="X69" s="773">
        <f t="shared" si="3"/>
        <v>1000</v>
      </c>
      <c r="Y69" s="256">
        <f t="shared" si="5"/>
        <v>30823.164647187637</v>
      </c>
      <c r="Z69" s="257">
        <f t="shared" si="4"/>
        <v>29823.164647187637</v>
      </c>
      <c r="AD69" s="776"/>
      <c r="AE69" s="777"/>
      <c r="AF69" s="776"/>
    </row>
    <row r="70" spans="7:32">
      <c r="G70" s="791"/>
      <c r="H70" s="791"/>
      <c r="I70" s="791"/>
      <c r="J70" s="791"/>
      <c r="L70" s="255">
        <v>37</v>
      </c>
      <c r="M70" s="258"/>
      <c r="N70" s="257">
        <f t="shared" si="6"/>
        <v>25633.88255949584</v>
      </c>
      <c r="V70" s="255">
        <v>46</v>
      </c>
      <c r="W70" s="256" t="e">
        <f t="shared" si="2"/>
        <v>#N/A</v>
      </c>
      <c r="X70" s="773">
        <f t="shared" si="3"/>
        <v>0</v>
      </c>
      <c r="Y70" s="256">
        <f t="shared" si="5"/>
        <v>30658.213257308893</v>
      </c>
      <c r="Z70" s="257">
        <f t="shared" si="4"/>
        <v>30658.213257308893</v>
      </c>
      <c r="AD70" s="776"/>
      <c r="AE70" s="777"/>
      <c r="AF70" s="776"/>
    </row>
    <row r="71" spans="7:32">
      <c r="G71" s="791"/>
      <c r="H71" s="791"/>
      <c r="I71" s="791"/>
      <c r="J71" s="791"/>
      <c r="L71" s="255">
        <v>38</v>
      </c>
      <c r="M71" s="258"/>
      <c r="N71" s="257">
        <f t="shared" si="6"/>
        <v>26351.631271161725</v>
      </c>
      <c r="V71" s="255">
        <v>47</v>
      </c>
      <c r="W71" s="256" t="e">
        <f t="shared" si="2"/>
        <v>#N/A</v>
      </c>
      <c r="X71" s="773">
        <f t="shared" si="3"/>
        <v>0</v>
      </c>
      <c r="Y71" s="256">
        <f t="shared" si="5"/>
        <v>31516.643228513542</v>
      </c>
      <c r="Z71" s="257">
        <f t="shared" si="4"/>
        <v>31516.643228513542</v>
      </c>
      <c r="AD71" s="776"/>
      <c r="AE71" s="777"/>
      <c r="AF71" s="776"/>
    </row>
    <row r="72" spans="7:32">
      <c r="L72" s="255">
        <v>39</v>
      </c>
      <c r="M72" s="258"/>
      <c r="N72" s="257">
        <f t="shared" si="6"/>
        <v>27089.476946754254</v>
      </c>
      <c r="V72" s="255">
        <v>48</v>
      </c>
      <c r="W72" s="256" t="e">
        <f t="shared" si="2"/>
        <v>#N/A</v>
      </c>
      <c r="X72" s="773">
        <f t="shared" si="3"/>
        <v>0</v>
      </c>
      <c r="Y72" s="256">
        <f t="shared" si="5"/>
        <v>32399.109238911922</v>
      </c>
      <c r="Z72" s="257">
        <f t="shared" si="4"/>
        <v>32399.109238911922</v>
      </c>
      <c r="AD72" s="776"/>
      <c r="AE72" s="777"/>
      <c r="AF72" s="776"/>
    </row>
    <row r="73" spans="7:32">
      <c r="L73" s="255">
        <v>40</v>
      </c>
      <c r="M73" s="258">
        <v>0</v>
      </c>
      <c r="N73" s="257">
        <f t="shared" si="6"/>
        <v>27847.982301263375</v>
      </c>
      <c r="V73" s="255">
        <v>49</v>
      </c>
      <c r="W73" s="256" t="e">
        <f t="shared" si="2"/>
        <v>#N/A</v>
      </c>
      <c r="X73" s="773">
        <f t="shared" si="3"/>
        <v>0</v>
      </c>
      <c r="Y73" s="256">
        <f t="shared" si="5"/>
        <v>33306.284297601458</v>
      </c>
      <c r="Z73" s="257">
        <f t="shared" si="4"/>
        <v>33306.284297601458</v>
      </c>
      <c r="AD73" s="776"/>
      <c r="AE73" s="777"/>
      <c r="AF73" s="776"/>
    </row>
    <row r="74" spans="7:32">
      <c r="L74" s="255">
        <v>40</v>
      </c>
      <c r="M74" s="258">
        <f>E33</f>
        <v>1000</v>
      </c>
      <c r="N74" s="257">
        <f t="shared" si="6"/>
        <v>26847.982301263375</v>
      </c>
      <c r="V74" s="255">
        <v>50</v>
      </c>
      <c r="W74" s="256">
        <f t="shared" si="2"/>
        <v>2800</v>
      </c>
      <c r="X74" s="773">
        <f t="shared" si="3"/>
        <v>2800</v>
      </c>
      <c r="Y74" s="256">
        <f t="shared" si="5"/>
        <v>34238.860257934299</v>
      </c>
      <c r="Z74" s="257">
        <f t="shared" si="4"/>
        <v>31438.860257934299</v>
      </c>
      <c r="AD74" s="776"/>
      <c r="AE74" s="777"/>
      <c r="AF74" s="776"/>
    </row>
    <row r="75" spans="7:32">
      <c r="L75" s="255">
        <v>41</v>
      </c>
      <c r="M75" s="258"/>
      <c r="N75" s="257">
        <f t="shared" si="6"/>
        <v>27599.725805698752</v>
      </c>
      <c r="V75" s="255">
        <v>51</v>
      </c>
      <c r="W75" s="256" t="e">
        <f t="shared" si="2"/>
        <v>#N/A</v>
      </c>
      <c r="X75" s="773">
        <f t="shared" si="3"/>
        <v>0</v>
      </c>
      <c r="Y75" s="256">
        <f t="shared" si="5"/>
        <v>32319.14834515646</v>
      </c>
      <c r="Z75" s="257">
        <f t="shared" si="4"/>
        <v>32319.14834515646</v>
      </c>
      <c r="AD75" s="776"/>
      <c r="AE75" s="777"/>
      <c r="AF75" s="776"/>
    </row>
    <row r="76" spans="7:32">
      <c r="L76" s="255">
        <v>42</v>
      </c>
      <c r="M76" s="258"/>
      <c r="N76" s="257">
        <f t="shared" si="6"/>
        <v>28372.518128258318</v>
      </c>
      <c r="V76" s="255">
        <v>52</v>
      </c>
      <c r="W76" s="256" t="e">
        <f t="shared" si="2"/>
        <v>#N/A</v>
      </c>
      <c r="X76" s="773">
        <f t="shared" si="3"/>
        <v>0</v>
      </c>
      <c r="Y76" s="256">
        <f t="shared" si="5"/>
        <v>33224.084498820841</v>
      </c>
      <c r="Z76" s="257">
        <f t="shared" si="4"/>
        <v>33224.084498820841</v>
      </c>
      <c r="AD76" s="776"/>
      <c r="AE76" s="777"/>
      <c r="AF76" s="776"/>
    </row>
    <row r="77" spans="7:32">
      <c r="L77" s="255">
        <v>43</v>
      </c>
      <c r="M77" s="258"/>
      <c r="N77" s="257">
        <f t="shared" si="6"/>
        <v>29166.948635849552</v>
      </c>
      <c r="V77" s="255">
        <v>53</v>
      </c>
      <c r="W77" s="256" t="e">
        <f t="shared" si="2"/>
        <v>#N/A</v>
      </c>
      <c r="X77" s="773">
        <f t="shared" si="3"/>
        <v>0</v>
      </c>
      <c r="Y77" s="256">
        <f t="shared" si="5"/>
        <v>34154.358864787828</v>
      </c>
      <c r="Z77" s="257">
        <f t="shared" si="4"/>
        <v>34154.358864787828</v>
      </c>
      <c r="AD77" s="776"/>
      <c r="AE77" s="777"/>
      <c r="AF77" s="776"/>
    </row>
    <row r="78" spans="7:32">
      <c r="L78" s="255">
        <v>44</v>
      </c>
      <c r="M78" s="258"/>
      <c r="N78" s="257">
        <f t="shared" si="6"/>
        <v>29983.623197653342</v>
      </c>
      <c r="V78" s="255">
        <v>54</v>
      </c>
      <c r="W78" s="256" t="e">
        <f t="shared" si="2"/>
        <v>#N/A</v>
      </c>
      <c r="X78" s="773">
        <f t="shared" si="3"/>
        <v>0</v>
      </c>
      <c r="Y78" s="256">
        <f t="shared" si="5"/>
        <v>35110.680913001888</v>
      </c>
      <c r="Z78" s="257">
        <f t="shared" si="4"/>
        <v>35110.680913001888</v>
      </c>
      <c r="AD78" s="776"/>
      <c r="AE78" s="777"/>
      <c r="AF78" s="776"/>
    </row>
    <row r="79" spans="7:32">
      <c r="L79" s="255">
        <v>45</v>
      </c>
      <c r="M79" s="258">
        <v>0</v>
      </c>
      <c r="N79" s="257">
        <f t="shared" si="6"/>
        <v>30823.164647187637</v>
      </c>
      <c r="V79" s="255">
        <v>55</v>
      </c>
      <c r="W79" s="256" t="e">
        <f t="shared" si="2"/>
        <v>#N/A</v>
      </c>
      <c r="X79" s="773">
        <f t="shared" si="3"/>
        <v>0</v>
      </c>
      <c r="Y79" s="256">
        <f t="shared" si="5"/>
        <v>36093.779978565944</v>
      </c>
      <c r="Z79" s="257">
        <f t="shared" si="4"/>
        <v>36093.779978565944</v>
      </c>
      <c r="AD79" s="776"/>
      <c r="AE79" s="777"/>
      <c r="AF79" s="776"/>
    </row>
    <row r="80" spans="7:32">
      <c r="L80" s="255">
        <v>45</v>
      </c>
      <c r="M80" s="258">
        <f>E34</f>
        <v>1000</v>
      </c>
      <c r="N80" s="257">
        <f t="shared" si="6"/>
        <v>29823.164647187637</v>
      </c>
      <c r="V80" s="255">
        <v>56</v>
      </c>
      <c r="W80" s="256" t="e">
        <f t="shared" si="2"/>
        <v>#N/A</v>
      </c>
      <c r="X80" s="773">
        <f t="shared" si="3"/>
        <v>0</v>
      </c>
      <c r="Y80" s="256">
        <f t="shared" si="5"/>
        <v>37104.405817965795</v>
      </c>
      <c r="Z80" s="257">
        <f t="shared" si="4"/>
        <v>37104.405817965795</v>
      </c>
      <c r="AD80" s="776"/>
      <c r="AE80" s="777"/>
      <c r="AF80" s="776"/>
    </row>
    <row r="81" spans="12:32">
      <c r="L81" s="255">
        <v>46</v>
      </c>
      <c r="M81" s="258"/>
      <c r="N81" s="257">
        <f t="shared" si="6"/>
        <v>30658.213257308893</v>
      </c>
      <c r="V81" s="255">
        <v>57</v>
      </c>
      <c r="W81" s="256" t="e">
        <f t="shared" si="2"/>
        <v>#N/A</v>
      </c>
      <c r="X81" s="773">
        <f t="shared" si="3"/>
        <v>0</v>
      </c>
      <c r="Y81" s="256">
        <f t="shared" si="5"/>
        <v>38143.329180868837</v>
      </c>
      <c r="Z81" s="257">
        <f t="shared" si="4"/>
        <v>38143.329180868837</v>
      </c>
      <c r="AD81" s="776"/>
      <c r="AE81" s="777"/>
      <c r="AF81" s="776"/>
    </row>
    <row r="82" spans="12:32">
      <c r="L82" s="255">
        <v>47</v>
      </c>
      <c r="M82" s="258"/>
      <c r="N82" s="257">
        <f t="shared" si="6"/>
        <v>31516.643228513542</v>
      </c>
      <c r="V82" s="255">
        <v>58</v>
      </c>
      <c r="W82" s="256" t="e">
        <f t="shared" si="2"/>
        <v>#N/A</v>
      </c>
      <c r="X82" s="773">
        <f t="shared" si="3"/>
        <v>0</v>
      </c>
      <c r="Y82" s="256">
        <f t="shared" si="5"/>
        <v>39211.342397933164</v>
      </c>
      <c r="Z82" s="257">
        <f t="shared" si="4"/>
        <v>39211.342397933164</v>
      </c>
      <c r="AD82" s="776"/>
      <c r="AE82" s="777"/>
      <c r="AF82" s="776"/>
    </row>
    <row r="83" spans="12:32">
      <c r="L83" s="255">
        <v>48</v>
      </c>
      <c r="M83" s="258"/>
      <c r="N83" s="257">
        <f t="shared" si="6"/>
        <v>32399.109238911922</v>
      </c>
      <c r="V83" s="255">
        <v>59</v>
      </c>
      <c r="W83" s="256" t="e">
        <f t="shared" si="2"/>
        <v>#N/A</v>
      </c>
      <c r="X83" s="773">
        <f t="shared" si="3"/>
        <v>0</v>
      </c>
      <c r="Y83" s="256">
        <f t="shared" si="5"/>
        <v>40309.259985075296</v>
      </c>
      <c r="Z83" s="257">
        <f t="shared" si="4"/>
        <v>40309.259985075296</v>
      </c>
      <c r="AD83" s="776"/>
      <c r="AE83" s="777"/>
      <c r="AF83" s="776"/>
    </row>
    <row r="84" spans="12:32" ht="13.5" thickBot="1">
      <c r="L84" s="255">
        <v>49</v>
      </c>
      <c r="M84" s="258"/>
      <c r="N84" s="257">
        <f t="shared" si="6"/>
        <v>33306.284297601458</v>
      </c>
      <c r="V84" s="259">
        <v>60</v>
      </c>
      <c r="W84" s="771">
        <f t="shared" si="2"/>
        <v>37000</v>
      </c>
      <c r="X84" s="774">
        <f t="shared" si="3"/>
        <v>37000</v>
      </c>
      <c r="Y84" s="771">
        <f t="shared" si="5"/>
        <v>41437.919264657408</v>
      </c>
      <c r="Z84" s="261">
        <f t="shared" si="4"/>
        <v>4437.9192646574083</v>
      </c>
      <c r="AD84" s="776"/>
      <c r="AE84" s="777"/>
      <c r="AF84" s="776"/>
    </row>
    <row r="85" spans="12:32">
      <c r="L85" s="255">
        <v>50</v>
      </c>
      <c r="M85" s="258">
        <v>0</v>
      </c>
      <c r="N85" s="257">
        <f t="shared" si="6"/>
        <v>34238.860257934299</v>
      </c>
      <c r="V85" s="12"/>
    </row>
    <row r="86" spans="12:32">
      <c r="L86" s="255">
        <v>50</v>
      </c>
      <c r="M86" s="258">
        <f>E35</f>
        <v>2800</v>
      </c>
      <c r="N86" s="257">
        <f t="shared" si="6"/>
        <v>31438.860257934299</v>
      </c>
      <c r="U86" s="16"/>
      <c r="V86" s="15"/>
      <c r="W86" s="16"/>
    </row>
    <row r="87" spans="12:32">
      <c r="L87" s="255">
        <v>51</v>
      </c>
      <c r="M87" s="258"/>
      <c r="N87" s="257">
        <f t="shared" si="6"/>
        <v>32319.14834515646</v>
      </c>
      <c r="U87" s="16"/>
      <c r="V87" s="15"/>
      <c r="W87" s="16"/>
    </row>
    <row r="88" spans="12:32">
      <c r="L88" s="255">
        <v>52</v>
      </c>
      <c r="M88" s="258"/>
      <c r="N88" s="257">
        <f t="shared" si="6"/>
        <v>33224.084498820841</v>
      </c>
      <c r="U88" s="16"/>
      <c r="V88" s="15"/>
      <c r="W88" s="16"/>
    </row>
    <row r="89" spans="12:32">
      <c r="L89" s="255">
        <v>53</v>
      </c>
      <c r="M89" s="258"/>
      <c r="N89" s="257">
        <f t="shared" si="6"/>
        <v>34154.358864787828</v>
      </c>
      <c r="U89" s="16"/>
      <c r="V89" s="15"/>
      <c r="W89" s="16"/>
    </row>
    <row r="90" spans="12:32">
      <c r="L90" s="255">
        <v>54</v>
      </c>
      <c r="M90" s="258"/>
      <c r="N90" s="257">
        <f t="shared" si="6"/>
        <v>35110.680913001888</v>
      </c>
      <c r="U90" s="16"/>
      <c r="V90" s="15"/>
      <c r="W90" s="16"/>
    </row>
    <row r="91" spans="12:32">
      <c r="L91" s="255">
        <v>55</v>
      </c>
      <c r="M91" s="258"/>
      <c r="N91" s="257">
        <f t="shared" si="6"/>
        <v>36093.779978565944</v>
      </c>
      <c r="U91" s="16"/>
      <c r="V91" s="15"/>
      <c r="W91" s="16"/>
    </row>
    <row r="92" spans="12:32">
      <c r="L92" s="255">
        <v>56</v>
      </c>
      <c r="M92" s="258"/>
      <c r="N92" s="257">
        <f t="shared" ref="N92:N97" si="8">N91*1.028^(L92-L91)-M92</f>
        <v>37104.405817965795</v>
      </c>
      <c r="U92" s="16"/>
      <c r="V92" s="15"/>
      <c r="W92" s="16"/>
    </row>
    <row r="93" spans="12:32">
      <c r="L93" s="255">
        <v>57</v>
      </c>
      <c r="M93" s="258"/>
      <c r="N93" s="257">
        <f t="shared" si="8"/>
        <v>38143.329180868837</v>
      </c>
      <c r="U93" s="16"/>
      <c r="V93" s="15"/>
      <c r="W93" s="16"/>
    </row>
    <row r="94" spans="12:32">
      <c r="L94" s="255">
        <v>58</v>
      </c>
      <c r="M94" s="258"/>
      <c r="N94" s="257">
        <f t="shared" si="8"/>
        <v>39211.342397933164</v>
      </c>
      <c r="U94" s="16"/>
      <c r="V94" s="15"/>
      <c r="W94" s="16"/>
    </row>
    <row r="95" spans="12:32">
      <c r="L95" s="255">
        <v>59</v>
      </c>
      <c r="M95" s="258"/>
      <c r="N95" s="257">
        <f t="shared" si="8"/>
        <v>40309.259985075296</v>
      </c>
      <c r="U95" s="16"/>
      <c r="V95" s="15"/>
      <c r="W95" s="16"/>
    </row>
    <row r="96" spans="12:32">
      <c r="L96" s="255">
        <v>60</v>
      </c>
      <c r="M96" s="258">
        <v>0</v>
      </c>
      <c r="N96" s="257">
        <f t="shared" si="8"/>
        <v>41437.919264657408</v>
      </c>
      <c r="U96" s="16"/>
      <c r="V96" s="15"/>
      <c r="W96" s="16"/>
    </row>
    <row r="97" spans="12:23" ht="13.5" thickBot="1">
      <c r="L97" s="259">
        <v>60</v>
      </c>
      <c r="M97" s="260">
        <f>E36</f>
        <v>37000</v>
      </c>
      <c r="N97" s="261">
        <f t="shared" si="8"/>
        <v>4437.9192646574083</v>
      </c>
      <c r="U97" s="16"/>
      <c r="V97" s="15"/>
      <c r="W97" s="16"/>
    </row>
    <row r="98" spans="12:23">
      <c r="U98" s="16"/>
      <c r="V98" s="15"/>
      <c r="W98" s="16"/>
    </row>
    <row r="99" spans="12:23">
      <c r="U99" s="16"/>
      <c r="V99" s="15"/>
      <c r="W99" s="16"/>
    </row>
    <row r="100" spans="12:23">
      <c r="V100" s="12"/>
    </row>
    <row r="101" spans="12:23">
      <c r="V101" s="12"/>
    </row>
    <row r="102" spans="12:23">
      <c r="V102" s="12"/>
    </row>
    <row r="103" spans="12:23">
      <c r="V103" s="12"/>
    </row>
    <row r="104" spans="12:23">
      <c r="V104" s="12"/>
    </row>
    <row r="105" spans="12:23">
      <c r="V105" s="12"/>
    </row>
    <row r="106" spans="12:23">
      <c r="V106" s="12"/>
    </row>
    <row r="107" spans="12:23">
      <c r="V107" s="12"/>
    </row>
    <row r="108" spans="12:23">
      <c r="V108" s="12"/>
    </row>
    <row r="109" spans="12:23">
      <c r="V109" s="12"/>
    </row>
    <row r="110" spans="12:23">
      <c r="V110" s="12"/>
    </row>
  </sheetData>
  <mergeCells count="4">
    <mergeCell ref="L22:N22"/>
    <mergeCell ref="C52:F55"/>
    <mergeCell ref="G45:J71"/>
    <mergeCell ref="V21:Z22"/>
  </mergeCells>
  <phoneticPr fontId="4" type="noConversion"/>
  <pageMargins left="0.78740157480314965" right="0.78740157480314965" top="0.98425196850393704" bottom="0.98425196850393704" header="0.51181102362204722" footer="0.51181102362204722"/>
  <pageSetup paperSize="9" scale="5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V78"/>
  <sheetViews>
    <sheetView zoomScaleNormal="100" workbookViewId="0">
      <selection activeCell="L13" sqref="L13:U45"/>
    </sheetView>
  </sheetViews>
  <sheetFormatPr baseColWidth="10" defaultRowHeight="12.75"/>
  <cols>
    <col min="1" max="1" width="2.5703125" bestFit="1" customWidth="1"/>
    <col min="3" max="3" width="14.28515625" bestFit="1" customWidth="1"/>
    <col min="4" max="4" width="12" bestFit="1" customWidth="1"/>
    <col min="5" max="6" width="11.7109375" bestFit="1" customWidth="1"/>
    <col min="7" max="7" width="11.7109375" customWidth="1"/>
    <col min="12" max="12" width="16.7109375" bestFit="1" customWidth="1"/>
    <col min="13" max="13" width="14.42578125" bestFit="1" customWidth="1"/>
    <col min="14" max="14" width="7.7109375" bestFit="1" customWidth="1"/>
    <col min="15" max="15" width="13.5703125" bestFit="1" customWidth="1"/>
    <col min="16" max="16" width="9.140625" bestFit="1" customWidth="1"/>
    <col min="17" max="17" width="17.7109375" bestFit="1" customWidth="1"/>
    <col min="18" max="18" width="6.42578125" bestFit="1" customWidth="1"/>
    <col min="19" max="19" width="11.7109375" bestFit="1" customWidth="1"/>
    <col min="20" max="21" width="11.5703125" bestFit="1" customWidth="1"/>
  </cols>
  <sheetData>
    <row r="2" spans="1:21">
      <c r="B2" s="2" t="s">
        <v>9</v>
      </c>
    </row>
    <row r="4" spans="1:21">
      <c r="M4" s="270" t="s">
        <v>441</v>
      </c>
      <c r="N4" s="271"/>
      <c r="O4" s="271"/>
      <c r="P4" s="271"/>
      <c r="Q4" s="271"/>
      <c r="R4" s="271"/>
      <c r="S4" s="271"/>
      <c r="T4" s="265"/>
      <c r="U4" s="265"/>
    </row>
    <row r="5" spans="1:21">
      <c r="B5" t="s">
        <v>76</v>
      </c>
      <c r="M5" s="272" t="s">
        <v>442</v>
      </c>
      <c r="N5" s="271"/>
      <c r="O5" s="271"/>
      <c r="P5" s="271"/>
      <c r="Q5" s="271"/>
      <c r="R5" s="271"/>
      <c r="S5" s="271"/>
      <c r="T5" s="265"/>
      <c r="U5" s="265"/>
    </row>
    <row r="6" spans="1:21">
      <c r="B6" s="18" t="s">
        <v>241</v>
      </c>
      <c r="M6" s="270" t="s">
        <v>443</v>
      </c>
      <c r="N6" s="271"/>
      <c r="O6" s="271"/>
      <c r="P6" s="271"/>
      <c r="Q6" s="271"/>
      <c r="R6" s="271"/>
      <c r="S6" s="271"/>
      <c r="T6" s="265"/>
      <c r="U6" s="265"/>
    </row>
    <row r="7" spans="1:21">
      <c r="L7" s="12"/>
      <c r="M7" s="270" t="s">
        <v>444</v>
      </c>
      <c r="N7" s="271"/>
      <c r="O7" s="271"/>
      <c r="P7" s="271"/>
      <c r="Q7" s="271"/>
      <c r="R7" s="271"/>
      <c r="S7" s="271"/>
      <c r="T7" s="265"/>
      <c r="U7" s="265"/>
    </row>
    <row r="8" spans="1:21">
      <c r="A8" t="s">
        <v>45</v>
      </c>
      <c r="B8" t="s">
        <v>73</v>
      </c>
      <c r="D8" s="12"/>
      <c r="K8" s="12"/>
      <c r="L8" s="12"/>
      <c r="M8" s="270" t="s">
        <v>445</v>
      </c>
      <c r="N8" s="271"/>
      <c r="O8" s="271"/>
      <c r="P8" s="271"/>
      <c r="Q8" s="271"/>
      <c r="R8" s="271"/>
      <c r="S8" s="271"/>
      <c r="T8" s="265"/>
      <c r="U8" s="265"/>
    </row>
    <row r="9" spans="1:21">
      <c r="A9" t="s">
        <v>44</v>
      </c>
      <c r="B9" t="s">
        <v>77</v>
      </c>
      <c r="C9" s="12"/>
      <c r="L9" s="12"/>
      <c r="N9" s="265"/>
      <c r="O9" s="265"/>
      <c r="P9" s="265"/>
      <c r="Q9" s="265"/>
      <c r="R9" s="265"/>
      <c r="S9" s="265"/>
      <c r="T9" s="265"/>
      <c r="U9" s="265"/>
    </row>
    <row r="10" spans="1:21">
      <c r="M10" s="265"/>
      <c r="N10" s="265"/>
      <c r="O10" s="265"/>
      <c r="P10" s="265"/>
      <c r="Q10" s="265"/>
      <c r="R10" s="265"/>
      <c r="S10" s="265"/>
      <c r="T10" s="265"/>
      <c r="U10" s="265"/>
    </row>
    <row r="11" spans="1:21">
      <c r="M11" s="265"/>
      <c r="N11" s="265"/>
      <c r="O11" s="265"/>
      <c r="P11" s="265"/>
      <c r="Q11" s="265"/>
      <c r="R11" s="265"/>
      <c r="S11" s="265"/>
      <c r="T11" s="265"/>
      <c r="U11" s="265"/>
    </row>
    <row r="12" spans="1:21" ht="13.5" thickBot="1"/>
    <row r="13" spans="1:21" ht="13.5" thickBot="1">
      <c r="T13" s="793" t="s">
        <v>296</v>
      </c>
      <c r="U13" s="794"/>
    </row>
    <row r="14" spans="1:21" ht="13.5" thickBot="1">
      <c r="C14" s="40" t="s">
        <v>3</v>
      </c>
      <c r="D14" s="40" t="s">
        <v>2</v>
      </c>
      <c r="E14" s="40" t="s">
        <v>4</v>
      </c>
      <c r="F14" s="40" t="s">
        <v>5</v>
      </c>
      <c r="G14" s="40" t="s">
        <v>6</v>
      </c>
      <c r="I14" s="12"/>
      <c r="J14" s="12"/>
      <c r="K14" s="12"/>
      <c r="L14" s="196" t="s">
        <v>3</v>
      </c>
      <c r="M14" s="193" t="s">
        <v>2</v>
      </c>
      <c r="N14" s="193" t="s">
        <v>289</v>
      </c>
      <c r="O14" s="193" t="s">
        <v>291</v>
      </c>
      <c r="P14" s="193" t="s">
        <v>288</v>
      </c>
      <c r="Q14" s="193" t="s">
        <v>292</v>
      </c>
      <c r="R14" s="193" t="s">
        <v>293</v>
      </c>
      <c r="S14" s="193" t="s">
        <v>282</v>
      </c>
      <c r="T14" s="196" t="s">
        <v>294</v>
      </c>
      <c r="U14" s="203" t="s">
        <v>295</v>
      </c>
    </row>
    <row r="15" spans="1:21">
      <c r="C15" s="10">
        <v>1</v>
      </c>
      <c r="D15" s="11">
        <v>3.7</v>
      </c>
      <c r="E15" s="3">
        <v>1</v>
      </c>
      <c r="F15" s="3">
        <v>5</v>
      </c>
      <c r="G15" s="3">
        <v>10</v>
      </c>
      <c r="H15" s="48"/>
      <c r="I15" s="48"/>
      <c r="J15" s="48"/>
      <c r="L15" s="197"/>
      <c r="M15" s="159"/>
      <c r="N15" s="162">
        <v>0</v>
      </c>
      <c r="O15" s="162"/>
      <c r="P15" s="162"/>
      <c r="Q15" s="162">
        <f>-7000-107000</f>
        <v>-114000</v>
      </c>
      <c r="R15" s="162">
        <f>-0.25*Q15</f>
        <v>28500</v>
      </c>
      <c r="S15" s="266">
        <f>Q15</f>
        <v>-114000</v>
      </c>
      <c r="T15" s="285">
        <f>S15</f>
        <v>-114000</v>
      </c>
      <c r="U15" s="267">
        <f>Q15+R15</f>
        <v>-85500</v>
      </c>
    </row>
    <row r="16" spans="1:21">
      <c r="C16" s="10">
        <v>2</v>
      </c>
      <c r="D16" s="11">
        <v>5.2</v>
      </c>
      <c r="E16" s="3">
        <v>2</v>
      </c>
      <c r="F16" s="3">
        <v>7</v>
      </c>
      <c r="G16" s="3">
        <v>12</v>
      </c>
      <c r="H16" s="48"/>
      <c r="I16" s="48"/>
      <c r="J16" s="48"/>
      <c r="L16" s="198">
        <v>1</v>
      </c>
      <c r="M16" s="161">
        <v>3.7</v>
      </c>
      <c r="N16" s="160">
        <v>1</v>
      </c>
      <c r="O16" s="160">
        <v>1500</v>
      </c>
      <c r="P16" s="160">
        <f t="shared" ref="P16:P45" si="0">O16*M16</f>
        <v>5550</v>
      </c>
      <c r="Q16" s="162"/>
      <c r="R16" s="162"/>
      <c r="S16" s="266">
        <f>P16/(1+0.02)^N16</f>
        <v>5441.1764705882351</v>
      </c>
      <c r="T16" s="285">
        <f>T15+S16</f>
        <v>-108558.82352941176</v>
      </c>
      <c r="U16" s="267">
        <f>U15+S16</f>
        <v>-80058.823529411762</v>
      </c>
    </row>
    <row r="17" spans="2:22">
      <c r="C17" s="10">
        <v>3</v>
      </c>
      <c r="D17" s="11">
        <v>1.41</v>
      </c>
      <c r="E17" s="3">
        <v>5</v>
      </c>
      <c r="F17" s="3">
        <v>10</v>
      </c>
      <c r="G17" s="3">
        <v>15</v>
      </c>
      <c r="H17" s="48"/>
      <c r="I17" s="48"/>
      <c r="J17" s="48"/>
      <c r="L17" s="198">
        <v>10</v>
      </c>
      <c r="M17" s="161">
        <v>10.130000000000001</v>
      </c>
      <c r="N17" s="160">
        <v>1</v>
      </c>
      <c r="O17" s="160">
        <v>1500</v>
      </c>
      <c r="P17" s="160">
        <f t="shared" si="0"/>
        <v>15195.000000000002</v>
      </c>
      <c r="Q17" s="162"/>
      <c r="R17" s="162"/>
      <c r="S17" s="266">
        <f t="shared" ref="S17:S45" si="1">P17/(1+0.02)^N17</f>
        <v>14897.058823529413</v>
      </c>
      <c r="T17" s="285">
        <f t="shared" ref="T17:T45" si="2">T16+S17</f>
        <v>-93661.76470588235</v>
      </c>
      <c r="U17" s="267">
        <f t="shared" ref="U17:U45" si="3">U16+S17</f>
        <v>-65161.76470588235</v>
      </c>
      <c r="V17" s="157"/>
    </row>
    <row r="18" spans="2:22">
      <c r="C18" s="10">
        <v>4</v>
      </c>
      <c r="D18" s="11">
        <v>1.3</v>
      </c>
      <c r="E18" s="3">
        <v>16</v>
      </c>
      <c r="F18" s="3">
        <v>21</v>
      </c>
      <c r="G18" s="3">
        <v>26</v>
      </c>
      <c r="H18" s="48"/>
      <c r="I18" s="48"/>
      <c r="J18" s="48"/>
      <c r="L18" s="198">
        <v>2</v>
      </c>
      <c r="M18" s="161">
        <v>5.2</v>
      </c>
      <c r="N18" s="160">
        <v>2</v>
      </c>
      <c r="O18" s="160">
        <v>1500</v>
      </c>
      <c r="P18" s="160">
        <f t="shared" si="0"/>
        <v>7800</v>
      </c>
      <c r="Q18" s="162"/>
      <c r="R18" s="162"/>
      <c r="S18" s="266">
        <f t="shared" si="1"/>
        <v>7497.1164936562864</v>
      </c>
      <c r="T18" s="285">
        <f t="shared" si="2"/>
        <v>-86164.648212226064</v>
      </c>
      <c r="U18" s="267">
        <f t="shared" si="3"/>
        <v>-57664.648212226064</v>
      </c>
      <c r="V18" s="157"/>
    </row>
    <row r="19" spans="2:22">
      <c r="C19" s="10">
        <v>5</v>
      </c>
      <c r="D19" s="11">
        <v>1.1000000000000001</v>
      </c>
      <c r="E19" s="3">
        <v>3</v>
      </c>
      <c r="F19" s="3">
        <v>8</v>
      </c>
      <c r="G19" s="3">
        <v>13</v>
      </c>
      <c r="H19" s="48"/>
      <c r="I19" s="48"/>
      <c r="J19" s="48"/>
      <c r="L19" s="198">
        <v>7</v>
      </c>
      <c r="M19" s="161">
        <v>0.57999999999999996</v>
      </c>
      <c r="N19" s="160">
        <v>2</v>
      </c>
      <c r="O19" s="160">
        <v>1500</v>
      </c>
      <c r="P19" s="160">
        <f t="shared" si="0"/>
        <v>869.99999999999989</v>
      </c>
      <c r="Q19" s="162"/>
      <c r="R19" s="162"/>
      <c r="S19" s="266">
        <f t="shared" si="1"/>
        <v>836.21683967704723</v>
      </c>
      <c r="T19" s="285">
        <f t="shared" si="2"/>
        <v>-85328.431372549021</v>
      </c>
      <c r="U19" s="267">
        <f t="shared" si="3"/>
        <v>-56828.431372549014</v>
      </c>
      <c r="V19" s="157"/>
    </row>
    <row r="20" spans="2:22">
      <c r="C20" s="10">
        <v>6</v>
      </c>
      <c r="D20" s="11">
        <v>1.36</v>
      </c>
      <c r="E20" s="3">
        <v>17</v>
      </c>
      <c r="F20" s="3">
        <v>22</v>
      </c>
      <c r="G20" s="3">
        <v>27</v>
      </c>
      <c r="H20" s="48"/>
      <c r="I20" s="48"/>
      <c r="J20" s="48"/>
      <c r="L20" s="198">
        <v>5</v>
      </c>
      <c r="M20" s="161">
        <v>1.1000000000000001</v>
      </c>
      <c r="N20" s="160">
        <v>3</v>
      </c>
      <c r="O20" s="160">
        <v>1500</v>
      </c>
      <c r="P20" s="160">
        <f t="shared" si="0"/>
        <v>1650.0000000000002</v>
      </c>
      <c r="Q20" s="162"/>
      <c r="R20" s="162"/>
      <c r="S20" s="266">
        <f t="shared" si="1"/>
        <v>1554.8318520026237</v>
      </c>
      <c r="T20" s="285">
        <f t="shared" si="2"/>
        <v>-83773.599520546399</v>
      </c>
      <c r="U20" s="267">
        <f t="shared" si="3"/>
        <v>-55273.599520546391</v>
      </c>
      <c r="V20" s="157"/>
    </row>
    <row r="21" spans="2:22">
      <c r="C21" s="10">
        <v>7</v>
      </c>
      <c r="D21" s="11">
        <v>0.57999999999999996</v>
      </c>
      <c r="E21" s="3">
        <v>2</v>
      </c>
      <c r="F21" s="3">
        <v>7</v>
      </c>
      <c r="G21" s="3">
        <v>12</v>
      </c>
      <c r="H21" s="48"/>
      <c r="I21" s="48"/>
      <c r="J21" s="48"/>
      <c r="L21" s="198">
        <v>9</v>
      </c>
      <c r="M21" s="161">
        <v>2.21</v>
      </c>
      <c r="N21" s="160">
        <v>4</v>
      </c>
      <c r="O21" s="160">
        <v>1500</v>
      </c>
      <c r="P21" s="160">
        <f t="shared" si="0"/>
        <v>3315</v>
      </c>
      <c r="Q21" s="162"/>
      <c r="R21" s="162"/>
      <c r="S21" s="266">
        <f t="shared" si="1"/>
        <v>3062.5475872778948</v>
      </c>
      <c r="T21" s="285">
        <f t="shared" si="2"/>
        <v>-80711.051933268507</v>
      </c>
      <c r="U21" s="267">
        <f t="shared" si="3"/>
        <v>-52211.0519332685</v>
      </c>
      <c r="V21" s="157"/>
    </row>
    <row r="22" spans="2:22">
      <c r="C22" s="10">
        <v>8</v>
      </c>
      <c r="D22" s="11">
        <v>2.08</v>
      </c>
      <c r="E22" s="3">
        <v>14</v>
      </c>
      <c r="F22" s="3">
        <v>19</v>
      </c>
      <c r="G22" s="3">
        <v>24</v>
      </c>
      <c r="H22" s="48"/>
      <c r="I22" s="48"/>
      <c r="J22" s="48"/>
      <c r="L22" s="198">
        <v>3</v>
      </c>
      <c r="M22" s="161">
        <v>1.41</v>
      </c>
      <c r="N22" s="160">
        <v>5</v>
      </c>
      <c r="O22" s="160">
        <v>1500</v>
      </c>
      <c r="P22" s="160">
        <f t="shared" si="0"/>
        <v>2115</v>
      </c>
      <c r="Q22" s="162"/>
      <c r="R22" s="162"/>
      <c r="S22" s="266">
        <f t="shared" si="1"/>
        <v>1915.620662790272</v>
      </c>
      <c r="T22" s="285">
        <f t="shared" si="2"/>
        <v>-78795.431270478235</v>
      </c>
      <c r="U22" s="267">
        <f t="shared" si="3"/>
        <v>-50295.431270478228</v>
      </c>
      <c r="V22" s="157"/>
    </row>
    <row r="23" spans="2:22">
      <c r="C23" s="10">
        <v>9</v>
      </c>
      <c r="D23" s="11">
        <v>2.21</v>
      </c>
      <c r="E23" s="3">
        <v>4</v>
      </c>
      <c r="F23" s="3">
        <v>9</v>
      </c>
      <c r="G23" s="3">
        <v>14</v>
      </c>
      <c r="H23" s="48"/>
      <c r="I23" s="48"/>
      <c r="J23" s="48"/>
      <c r="L23" s="198">
        <v>1</v>
      </c>
      <c r="M23" s="161">
        <v>3.7</v>
      </c>
      <c r="N23" s="160">
        <v>5</v>
      </c>
      <c r="O23" s="160">
        <v>3000</v>
      </c>
      <c r="P23" s="160">
        <f t="shared" si="0"/>
        <v>11100</v>
      </c>
      <c r="Q23" s="162"/>
      <c r="R23" s="162"/>
      <c r="S23" s="266">
        <f t="shared" si="1"/>
        <v>10053.611989112067</v>
      </c>
      <c r="T23" s="285">
        <f t="shared" si="2"/>
        <v>-68741.819281366174</v>
      </c>
      <c r="U23" s="267">
        <f t="shared" si="3"/>
        <v>-40241.819281366159</v>
      </c>
      <c r="V23" s="157"/>
    </row>
    <row r="24" spans="2:22">
      <c r="C24" s="10">
        <v>10</v>
      </c>
      <c r="D24" s="11">
        <v>10.130000000000001</v>
      </c>
      <c r="E24" s="3">
        <v>1</v>
      </c>
      <c r="F24" s="3">
        <v>6</v>
      </c>
      <c r="G24" s="3">
        <v>11</v>
      </c>
      <c r="H24" s="48"/>
      <c r="I24" s="48"/>
      <c r="J24" s="48"/>
      <c r="L24" s="279">
        <v>10</v>
      </c>
      <c r="M24" s="280">
        <v>10.130000000000001</v>
      </c>
      <c r="N24" s="281">
        <v>6</v>
      </c>
      <c r="O24" s="281">
        <v>3000</v>
      </c>
      <c r="P24" s="281">
        <f t="shared" si="0"/>
        <v>30390.000000000004</v>
      </c>
      <c r="Q24" s="282"/>
      <c r="R24" s="282"/>
      <c r="S24" s="283">
        <f t="shared" si="1"/>
        <v>26985.45030463838</v>
      </c>
      <c r="T24" s="286">
        <f t="shared" si="2"/>
        <v>-41756.368976727797</v>
      </c>
      <c r="U24" s="284">
        <f t="shared" si="3"/>
        <v>-13256.368976727779</v>
      </c>
      <c r="V24" s="157"/>
    </row>
    <row r="25" spans="2:22">
      <c r="L25" s="279">
        <v>2</v>
      </c>
      <c r="M25" s="280">
        <v>5.2</v>
      </c>
      <c r="N25" s="281">
        <v>7</v>
      </c>
      <c r="O25" s="281">
        <v>3000</v>
      </c>
      <c r="P25" s="281">
        <f t="shared" si="0"/>
        <v>15600</v>
      </c>
      <c r="Q25" s="282"/>
      <c r="R25" s="282"/>
      <c r="S25" s="283">
        <f t="shared" si="1"/>
        <v>13580.738786377056</v>
      </c>
      <c r="T25" s="286">
        <f t="shared" si="2"/>
        <v>-28175.630190350741</v>
      </c>
      <c r="U25" s="284">
        <f t="shared" si="3"/>
        <v>324.36980964927716</v>
      </c>
      <c r="V25" s="157"/>
    </row>
    <row r="26" spans="2:22">
      <c r="B26" t="s">
        <v>32</v>
      </c>
      <c r="L26" s="198">
        <v>7</v>
      </c>
      <c r="M26" s="161">
        <v>0.57999999999999996</v>
      </c>
      <c r="N26" s="160">
        <v>7</v>
      </c>
      <c r="O26" s="160">
        <v>3000</v>
      </c>
      <c r="P26" s="160">
        <f t="shared" si="0"/>
        <v>1739.9999999999998</v>
      </c>
      <c r="Q26" s="162"/>
      <c r="R26" s="162"/>
      <c r="S26" s="266">
        <f t="shared" si="1"/>
        <v>1514.7747107882101</v>
      </c>
      <c r="T26" s="285">
        <f t="shared" si="2"/>
        <v>-26660.855479562531</v>
      </c>
      <c r="U26" s="267">
        <f t="shared" si="3"/>
        <v>1839.1445204374872</v>
      </c>
      <c r="V26" s="157"/>
    </row>
    <row r="27" spans="2:22">
      <c r="B27" t="s">
        <v>30</v>
      </c>
      <c r="L27" s="198">
        <v>5</v>
      </c>
      <c r="M27" s="161">
        <v>1.1000000000000001</v>
      </c>
      <c r="N27" s="160">
        <v>8</v>
      </c>
      <c r="O27" s="160">
        <v>3000</v>
      </c>
      <c r="P27" s="160">
        <f t="shared" si="0"/>
        <v>3300.0000000000005</v>
      </c>
      <c r="Q27" s="162"/>
      <c r="R27" s="162"/>
      <c r="S27" s="266">
        <f t="shared" si="1"/>
        <v>2816.5182249273689</v>
      </c>
      <c r="T27" s="285">
        <f t="shared" si="2"/>
        <v>-23844.337254635164</v>
      </c>
      <c r="U27" s="267">
        <f t="shared" si="3"/>
        <v>4655.6627453648562</v>
      </c>
      <c r="V27" s="157"/>
    </row>
    <row r="28" spans="2:22">
      <c r="B28" t="s">
        <v>31</v>
      </c>
      <c r="L28" s="198">
        <v>9</v>
      </c>
      <c r="M28" s="161">
        <v>2.21</v>
      </c>
      <c r="N28" s="160">
        <v>9</v>
      </c>
      <c r="O28" s="160">
        <v>3000</v>
      </c>
      <c r="P28" s="160">
        <f t="shared" si="0"/>
        <v>6630</v>
      </c>
      <c r="Q28" s="162"/>
      <c r="R28" s="162"/>
      <c r="S28" s="266">
        <f t="shared" si="1"/>
        <v>5547.687412735725</v>
      </c>
      <c r="T28" s="285">
        <f t="shared" si="2"/>
        <v>-18296.649841899438</v>
      </c>
      <c r="U28" s="267">
        <f t="shared" si="3"/>
        <v>10203.35015810058</v>
      </c>
      <c r="V28" s="157"/>
    </row>
    <row r="29" spans="2:22" s="12" customFormat="1">
      <c r="B29" s="12" t="s">
        <v>7</v>
      </c>
      <c r="L29" s="273">
        <v>3</v>
      </c>
      <c r="M29" s="274">
        <v>1.41</v>
      </c>
      <c r="N29" s="275">
        <v>10</v>
      </c>
      <c r="O29" s="275">
        <v>3000</v>
      </c>
      <c r="P29" s="275">
        <f t="shared" si="0"/>
        <v>4230</v>
      </c>
      <c r="Q29" s="276"/>
      <c r="R29" s="276"/>
      <c r="S29" s="277">
        <f t="shared" si="1"/>
        <v>3470.0733084719068</v>
      </c>
      <c r="T29" s="287">
        <f t="shared" si="2"/>
        <v>-14826.576533427531</v>
      </c>
      <c r="U29" s="278">
        <f t="shared" si="3"/>
        <v>13673.423466572487</v>
      </c>
      <c r="V29" s="157"/>
    </row>
    <row r="30" spans="2:22">
      <c r="L30" s="273">
        <v>1</v>
      </c>
      <c r="M30" s="274">
        <v>3.7</v>
      </c>
      <c r="N30" s="275">
        <v>10</v>
      </c>
      <c r="O30" s="275">
        <v>6100</v>
      </c>
      <c r="P30" s="275">
        <f t="shared" si="0"/>
        <v>22570</v>
      </c>
      <c r="Q30" s="276"/>
      <c r="R30" s="276"/>
      <c r="S30" s="277">
        <f t="shared" si="1"/>
        <v>18515.261128182254</v>
      </c>
      <c r="T30" s="287">
        <f t="shared" si="2"/>
        <v>3688.6845947547226</v>
      </c>
      <c r="U30" s="278">
        <f t="shared" si="3"/>
        <v>32188.684594754741</v>
      </c>
      <c r="V30" s="157"/>
    </row>
    <row r="31" spans="2:22">
      <c r="D31" s="12"/>
      <c r="L31" s="198">
        <v>10</v>
      </c>
      <c r="M31" s="161">
        <v>10.130000000000001</v>
      </c>
      <c r="N31" s="160">
        <v>11</v>
      </c>
      <c r="O31" s="160">
        <v>6100</v>
      </c>
      <c r="P31" s="160">
        <f t="shared" si="0"/>
        <v>61793.000000000007</v>
      </c>
      <c r="Q31" s="162"/>
      <c r="R31" s="162"/>
      <c r="S31" s="266">
        <f t="shared" si="1"/>
        <v>49697.825974691652</v>
      </c>
      <c r="T31" s="285">
        <f t="shared" si="2"/>
        <v>53386.510569446371</v>
      </c>
      <c r="U31" s="267">
        <f t="shared" si="3"/>
        <v>81886.5105694464</v>
      </c>
    </row>
    <row r="32" spans="2:22" s="12" customFormat="1">
      <c r="L32" s="198">
        <v>2</v>
      </c>
      <c r="M32" s="161">
        <v>5.2</v>
      </c>
      <c r="N32" s="160">
        <v>12</v>
      </c>
      <c r="O32" s="160">
        <v>6100</v>
      </c>
      <c r="P32" s="160">
        <f t="shared" si="0"/>
        <v>31720</v>
      </c>
      <c r="Q32" s="162"/>
      <c r="R32" s="162"/>
      <c r="S32" s="266">
        <f t="shared" si="1"/>
        <v>25011.003529450139</v>
      </c>
      <c r="T32" s="285">
        <f t="shared" si="2"/>
        <v>78397.514098896514</v>
      </c>
      <c r="U32" s="267">
        <f t="shared" si="3"/>
        <v>106897.51409889654</v>
      </c>
    </row>
    <row r="33" spans="12:21">
      <c r="L33" s="198">
        <v>7</v>
      </c>
      <c r="M33" s="161">
        <v>0.57999999999999996</v>
      </c>
      <c r="N33" s="160">
        <v>12</v>
      </c>
      <c r="O33" s="160">
        <v>6100</v>
      </c>
      <c r="P33" s="160">
        <f t="shared" si="0"/>
        <v>3537.9999999999995</v>
      </c>
      <c r="Q33" s="162"/>
      <c r="R33" s="162"/>
      <c r="S33" s="266">
        <f t="shared" si="1"/>
        <v>2789.6888552078999</v>
      </c>
      <c r="T33" s="285">
        <f t="shared" si="2"/>
        <v>81187.202954104418</v>
      </c>
      <c r="U33" s="267">
        <f t="shared" si="3"/>
        <v>109687.20295410445</v>
      </c>
    </row>
    <row r="34" spans="12:21">
      <c r="L34" s="198">
        <v>5</v>
      </c>
      <c r="M34" s="161">
        <v>1.1000000000000001</v>
      </c>
      <c r="N34" s="160">
        <v>13</v>
      </c>
      <c r="O34" s="160">
        <v>6100</v>
      </c>
      <c r="P34" s="160">
        <f t="shared" si="0"/>
        <v>6710.0000000000009</v>
      </c>
      <c r="Q34" s="162"/>
      <c r="R34" s="162"/>
      <c r="S34" s="266">
        <f t="shared" si="1"/>
        <v>5187.0482432871722</v>
      </c>
      <c r="T34" s="285">
        <f t="shared" si="2"/>
        <v>86374.251197391597</v>
      </c>
      <c r="U34" s="267">
        <f t="shared" si="3"/>
        <v>114874.25119739163</v>
      </c>
    </row>
    <row r="35" spans="12:21">
      <c r="L35" s="198">
        <v>8</v>
      </c>
      <c r="M35" s="161">
        <v>2.08</v>
      </c>
      <c r="N35" s="160">
        <v>14</v>
      </c>
      <c r="O35" s="160">
        <v>1500</v>
      </c>
      <c r="P35" s="160">
        <f t="shared" si="0"/>
        <v>3120</v>
      </c>
      <c r="Q35" s="162"/>
      <c r="R35" s="162"/>
      <c r="S35" s="266">
        <f t="shared" si="1"/>
        <v>2364.5700767154631</v>
      </c>
      <c r="T35" s="285">
        <f t="shared" si="2"/>
        <v>88738.82127410706</v>
      </c>
      <c r="U35" s="267">
        <f t="shared" si="3"/>
        <v>117238.82127410709</v>
      </c>
    </row>
    <row r="36" spans="12:21">
      <c r="L36" s="198">
        <v>9</v>
      </c>
      <c r="M36" s="161">
        <v>2.21</v>
      </c>
      <c r="N36" s="160">
        <v>14</v>
      </c>
      <c r="O36" s="160">
        <v>6100</v>
      </c>
      <c r="P36" s="160">
        <f t="shared" si="0"/>
        <v>13481</v>
      </c>
      <c r="Q36" s="162"/>
      <c r="R36" s="162"/>
      <c r="S36" s="266">
        <f t="shared" si="1"/>
        <v>10216.91320647473</v>
      </c>
      <c r="T36" s="285">
        <f t="shared" si="2"/>
        <v>98955.734480581785</v>
      </c>
      <c r="U36" s="267">
        <f t="shared" si="3"/>
        <v>127455.73448058181</v>
      </c>
    </row>
    <row r="37" spans="12:21">
      <c r="L37" s="198">
        <v>3</v>
      </c>
      <c r="M37" s="161">
        <v>1.41</v>
      </c>
      <c r="N37" s="160">
        <v>15</v>
      </c>
      <c r="O37" s="160">
        <v>6100</v>
      </c>
      <c r="P37" s="160">
        <f t="shared" si="0"/>
        <v>8601</v>
      </c>
      <c r="Q37" s="162"/>
      <c r="R37" s="162"/>
      <c r="S37" s="266">
        <f t="shared" si="1"/>
        <v>6390.6696926312543</v>
      </c>
      <c r="T37" s="285">
        <f t="shared" si="2"/>
        <v>105346.40417321304</v>
      </c>
      <c r="U37" s="267">
        <f t="shared" si="3"/>
        <v>133846.40417321306</v>
      </c>
    </row>
    <row r="38" spans="12:21">
      <c r="L38" s="198">
        <v>4</v>
      </c>
      <c r="M38" s="161">
        <v>1.3</v>
      </c>
      <c r="N38" s="160">
        <v>16</v>
      </c>
      <c r="O38" s="160">
        <v>1500</v>
      </c>
      <c r="P38" s="160">
        <f t="shared" si="0"/>
        <v>1950</v>
      </c>
      <c r="Q38" s="162"/>
      <c r="R38" s="162"/>
      <c r="S38" s="266">
        <f t="shared" si="1"/>
        <v>1420.4693367427572</v>
      </c>
      <c r="T38" s="285">
        <f t="shared" si="2"/>
        <v>106766.8735099558</v>
      </c>
      <c r="U38" s="267">
        <f t="shared" si="3"/>
        <v>135266.87350995583</v>
      </c>
    </row>
    <row r="39" spans="12:21">
      <c r="L39" s="198">
        <v>6</v>
      </c>
      <c r="M39" s="161">
        <v>1.36</v>
      </c>
      <c r="N39" s="160">
        <v>17</v>
      </c>
      <c r="O39" s="160">
        <v>1500</v>
      </c>
      <c r="P39" s="160">
        <f t="shared" si="0"/>
        <v>2040.0000000000002</v>
      </c>
      <c r="Q39" s="162"/>
      <c r="R39" s="162"/>
      <c r="S39" s="266">
        <f t="shared" si="1"/>
        <v>1456.8916274284691</v>
      </c>
      <c r="T39" s="285">
        <f t="shared" si="2"/>
        <v>108223.76513738427</v>
      </c>
      <c r="U39" s="267">
        <f t="shared" si="3"/>
        <v>136723.7651373843</v>
      </c>
    </row>
    <row r="40" spans="12:21">
      <c r="L40" s="198">
        <v>8</v>
      </c>
      <c r="M40" s="161">
        <v>2.08</v>
      </c>
      <c r="N40" s="160">
        <v>19</v>
      </c>
      <c r="O40" s="160">
        <v>3000</v>
      </c>
      <c r="P40" s="160">
        <f t="shared" si="0"/>
        <v>6240</v>
      </c>
      <c r="Q40" s="162"/>
      <c r="R40" s="162"/>
      <c r="S40" s="266">
        <f t="shared" si="1"/>
        <v>4283.3279409661664</v>
      </c>
      <c r="T40" s="285">
        <f t="shared" si="2"/>
        <v>112507.09307835043</v>
      </c>
      <c r="U40" s="267">
        <f t="shared" si="3"/>
        <v>141007.09307835047</v>
      </c>
    </row>
    <row r="41" spans="12:21">
      <c r="L41" s="198">
        <v>4</v>
      </c>
      <c r="M41" s="161">
        <v>1.3</v>
      </c>
      <c r="N41" s="160">
        <v>21</v>
      </c>
      <c r="O41" s="160">
        <v>3000</v>
      </c>
      <c r="P41" s="160">
        <f t="shared" si="0"/>
        <v>3900</v>
      </c>
      <c r="Q41" s="162"/>
      <c r="R41" s="162"/>
      <c r="S41" s="266">
        <f t="shared" si="1"/>
        <v>2573.125685413162</v>
      </c>
      <c r="T41" s="285">
        <f t="shared" si="2"/>
        <v>115080.21876376359</v>
      </c>
      <c r="U41" s="267">
        <f t="shared" si="3"/>
        <v>143580.21876376364</v>
      </c>
    </row>
    <row r="42" spans="12:21">
      <c r="L42" s="198">
        <v>6</v>
      </c>
      <c r="M42" s="161">
        <v>1.36</v>
      </c>
      <c r="N42" s="160">
        <v>22</v>
      </c>
      <c r="O42" s="160">
        <v>3000</v>
      </c>
      <c r="P42" s="160">
        <f t="shared" si="0"/>
        <v>4080.0000000000005</v>
      </c>
      <c r="Q42" s="162"/>
      <c r="R42" s="162"/>
      <c r="S42" s="266">
        <f t="shared" si="1"/>
        <v>2639.1032670904228</v>
      </c>
      <c r="T42" s="285">
        <f t="shared" si="2"/>
        <v>117719.32203085402</v>
      </c>
      <c r="U42" s="267">
        <f t="shared" si="3"/>
        <v>146219.32203085406</v>
      </c>
    </row>
    <row r="43" spans="12:21">
      <c r="L43" s="198">
        <v>8</v>
      </c>
      <c r="M43" s="161">
        <v>2.08</v>
      </c>
      <c r="N43" s="160">
        <v>24</v>
      </c>
      <c r="O43" s="160">
        <v>6100</v>
      </c>
      <c r="P43" s="160">
        <f t="shared" si="0"/>
        <v>12688</v>
      </c>
      <c r="Q43" s="162"/>
      <c r="R43" s="162"/>
      <c r="S43" s="266">
        <f t="shared" si="1"/>
        <v>7888.402238968064</v>
      </c>
      <c r="T43" s="285">
        <f t="shared" si="2"/>
        <v>125607.72426982208</v>
      </c>
      <c r="U43" s="267">
        <f t="shared" si="3"/>
        <v>154107.72426982212</v>
      </c>
    </row>
    <row r="44" spans="12:21">
      <c r="L44" s="198">
        <v>4</v>
      </c>
      <c r="M44" s="161">
        <v>1.3</v>
      </c>
      <c r="N44" s="160">
        <v>26</v>
      </c>
      <c r="O44" s="160">
        <v>6100</v>
      </c>
      <c r="P44" s="160">
        <f t="shared" si="0"/>
        <v>7930</v>
      </c>
      <c r="Q44" s="162"/>
      <c r="R44" s="162"/>
      <c r="S44" s="266">
        <f t="shared" si="1"/>
        <v>4738.8037287149555</v>
      </c>
      <c r="T44" s="285">
        <f t="shared" si="2"/>
        <v>130346.52799853703</v>
      </c>
      <c r="U44" s="267">
        <f t="shared" si="3"/>
        <v>158846.52799853709</v>
      </c>
    </row>
    <row r="45" spans="12:21" ht="13.5" thickBot="1">
      <c r="L45" s="199">
        <v>6</v>
      </c>
      <c r="M45" s="200">
        <v>1.36</v>
      </c>
      <c r="N45" s="201">
        <v>27</v>
      </c>
      <c r="O45" s="201">
        <v>6100</v>
      </c>
      <c r="P45" s="201">
        <f t="shared" si="0"/>
        <v>8296</v>
      </c>
      <c r="Q45" s="202"/>
      <c r="R45" s="202"/>
      <c r="S45" s="268">
        <f t="shared" si="1"/>
        <v>4860.3115166307243</v>
      </c>
      <c r="T45" s="288">
        <f t="shared" si="2"/>
        <v>135206.83951516775</v>
      </c>
      <c r="U45" s="269">
        <f t="shared" si="3"/>
        <v>163706.83951516781</v>
      </c>
    </row>
    <row r="77" spans="12:19" s="5" customFormat="1">
      <c r="L77"/>
      <c r="M77"/>
      <c r="N77"/>
      <c r="O77"/>
      <c r="P77"/>
      <c r="Q77"/>
      <c r="R77"/>
      <c r="S77"/>
    </row>
    <row r="78" spans="12:19">
      <c r="L78" s="5"/>
      <c r="M78" s="5"/>
      <c r="N78" s="5"/>
      <c r="O78" s="5"/>
      <c r="P78" s="5"/>
      <c r="Q78" s="5"/>
      <c r="R78" s="5"/>
      <c r="S78" s="5"/>
    </row>
  </sheetData>
  <sortState xmlns:xlrd2="http://schemas.microsoft.com/office/spreadsheetml/2017/richdata2" ref="L16:T45">
    <sortCondition ref="N16:N45"/>
  </sortState>
  <mergeCells count="1">
    <mergeCell ref="T13:U13"/>
  </mergeCells>
  <phoneticPr fontId="4" type="noConversion"/>
  <pageMargins left="0.78740157499999996" right="0.78740157499999996" top="0.984251969" bottom="0.984251969" header="0.4921259845" footer="0.4921259845"/>
  <pageSetup paperSize="9" scale="4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F128"/>
  <sheetViews>
    <sheetView topLeftCell="J94" zoomScaleNormal="100" workbookViewId="0">
      <selection activeCell="Q114" sqref="Q114"/>
    </sheetView>
  </sheetViews>
  <sheetFormatPr baseColWidth="10" defaultRowHeight="12.75"/>
  <cols>
    <col min="1" max="1" width="3.28515625" customWidth="1"/>
    <col min="2" max="2" width="12.85546875" customWidth="1"/>
    <col min="14" max="14" width="12.7109375" bestFit="1" customWidth="1"/>
    <col min="15" max="15" width="13.140625" bestFit="1" customWidth="1"/>
  </cols>
  <sheetData>
    <row r="2" spans="1:32">
      <c r="B2" s="2" t="s">
        <v>20</v>
      </c>
      <c r="M2" s="346" t="s">
        <v>304</v>
      </c>
      <c r="N2" s="346">
        <v>0.2</v>
      </c>
    </row>
    <row r="4" spans="1:32">
      <c r="A4" s="296"/>
      <c r="B4" s="297" t="s">
        <v>251</v>
      </c>
      <c r="C4" s="296"/>
      <c r="D4" s="296"/>
      <c r="E4" s="296"/>
      <c r="F4" s="296"/>
      <c r="G4" s="296"/>
      <c r="H4" s="296"/>
      <c r="I4" s="296"/>
      <c r="J4" s="296"/>
      <c r="M4" s="2" t="s">
        <v>297</v>
      </c>
      <c r="N4" s="2"/>
      <c r="O4" s="2"/>
    </row>
    <row r="5" spans="1:32">
      <c r="A5" s="296"/>
      <c r="B5" s="297" t="s">
        <v>239</v>
      </c>
      <c r="C5" s="296"/>
      <c r="D5" s="296"/>
      <c r="E5" s="296"/>
      <c r="F5" s="296"/>
      <c r="G5" s="296"/>
      <c r="H5" s="296"/>
      <c r="I5" s="296"/>
      <c r="J5" s="296"/>
      <c r="M5" s="306"/>
      <c r="N5" s="306"/>
      <c r="O5" s="306"/>
      <c r="P5" s="315" t="s">
        <v>14</v>
      </c>
      <c r="Q5" s="316">
        <v>10</v>
      </c>
      <c r="R5" s="317">
        <v>25</v>
      </c>
      <c r="S5" s="318">
        <v>35</v>
      </c>
      <c r="T5" s="318">
        <v>55</v>
      </c>
      <c r="U5" s="318">
        <v>72</v>
      </c>
      <c r="V5" s="318">
        <v>81</v>
      </c>
      <c r="W5" s="318">
        <v>83</v>
      </c>
      <c r="X5" s="318">
        <v>85</v>
      </c>
    </row>
    <row r="6" spans="1:32" ht="15">
      <c r="A6" s="296"/>
      <c r="B6" s="296" t="s">
        <v>67</v>
      </c>
      <c r="C6" s="296"/>
      <c r="D6" s="296"/>
      <c r="E6" s="296"/>
      <c r="F6" s="296"/>
      <c r="G6" s="296"/>
      <c r="H6" s="296"/>
      <c r="I6" s="296"/>
      <c r="J6" s="296"/>
      <c r="M6" s="796" t="s">
        <v>177</v>
      </c>
      <c r="N6" s="307"/>
      <c r="O6" s="307"/>
      <c r="P6" s="796" t="s">
        <v>17</v>
      </c>
      <c r="Q6" s="796" t="s">
        <v>215</v>
      </c>
      <c r="R6" s="796"/>
      <c r="S6" s="796"/>
      <c r="T6" s="796"/>
      <c r="U6" s="796"/>
      <c r="V6" s="796"/>
      <c r="W6" s="796"/>
      <c r="X6" s="796"/>
      <c r="Y6" s="797" t="s">
        <v>449</v>
      </c>
      <c r="Z6" s="798"/>
      <c r="AA6" s="798"/>
      <c r="AB6" s="798"/>
      <c r="AC6" s="798"/>
      <c r="AD6" s="798"/>
      <c r="AE6" s="798"/>
      <c r="AF6" s="799"/>
    </row>
    <row r="7" spans="1:32" ht="15">
      <c r="A7" s="296"/>
      <c r="B7" s="296"/>
      <c r="C7" s="296"/>
      <c r="D7" s="296"/>
      <c r="E7" s="296"/>
      <c r="F7" s="296"/>
      <c r="G7" s="296"/>
      <c r="H7" s="296"/>
      <c r="I7" s="296"/>
      <c r="J7" s="296"/>
      <c r="M7" s="796"/>
      <c r="N7" s="343" t="s">
        <v>299</v>
      </c>
      <c r="O7" s="343" t="s">
        <v>298</v>
      </c>
      <c r="P7" s="796"/>
      <c r="Q7" s="308" t="s">
        <v>214</v>
      </c>
      <c r="R7" s="308" t="s">
        <v>213</v>
      </c>
      <c r="S7" s="308" t="s">
        <v>212</v>
      </c>
      <c r="T7" s="308" t="s">
        <v>211</v>
      </c>
      <c r="U7" s="308" t="s">
        <v>210</v>
      </c>
      <c r="V7" s="308" t="s">
        <v>209</v>
      </c>
      <c r="W7" s="308" t="s">
        <v>208</v>
      </c>
      <c r="X7" s="308" t="s">
        <v>207</v>
      </c>
      <c r="Y7" s="319" t="s">
        <v>214</v>
      </c>
      <c r="Z7" s="319" t="s">
        <v>213</v>
      </c>
      <c r="AA7" s="319" t="s">
        <v>212</v>
      </c>
      <c r="AB7" s="319" t="s">
        <v>211</v>
      </c>
      <c r="AC7" s="319" t="s">
        <v>210</v>
      </c>
      <c r="AD7" s="319" t="s">
        <v>209</v>
      </c>
      <c r="AE7" s="319" t="s">
        <v>208</v>
      </c>
      <c r="AF7" s="319" t="s">
        <v>207</v>
      </c>
    </row>
    <row r="8" spans="1:32" ht="15">
      <c r="A8" s="296"/>
      <c r="B8" s="297" t="s">
        <v>252</v>
      </c>
      <c r="C8" s="296"/>
      <c r="D8" s="296"/>
      <c r="E8" s="296"/>
      <c r="F8" s="296"/>
      <c r="G8" s="296"/>
      <c r="H8" s="296"/>
      <c r="I8" s="296"/>
      <c r="J8" s="296"/>
      <c r="M8" s="309">
        <v>17</v>
      </c>
      <c r="N8" s="344">
        <f t="shared" ref="N8:N19" si="0">O8*(1-$N$2)</f>
        <v>879.62237170528579</v>
      </c>
      <c r="O8" s="344">
        <f>SUM(Y8:AF8)</f>
        <v>1099.5279646316071</v>
      </c>
      <c r="P8" s="310">
        <v>13.4950675954818</v>
      </c>
      <c r="Q8" s="311">
        <v>10.259739783920416</v>
      </c>
      <c r="R8" s="311">
        <v>25.723368212542486</v>
      </c>
      <c r="S8" s="311">
        <v>7.5344800030485537</v>
      </c>
      <c r="T8" s="311">
        <v>1.6389011158571147</v>
      </c>
      <c r="U8" s="311">
        <v>0</v>
      </c>
      <c r="V8" s="311">
        <v>0</v>
      </c>
      <c r="W8" s="311">
        <v>0</v>
      </c>
      <c r="X8" s="311">
        <v>0</v>
      </c>
      <c r="Y8" s="320">
        <f>Q8*Q$5</f>
        <v>102.59739783920416</v>
      </c>
      <c r="Z8" s="320">
        <f t="shared" ref="Z8:AF19" si="1">R8*R$5</f>
        <v>643.08420531356217</v>
      </c>
      <c r="AA8" s="320">
        <f t="shared" si="1"/>
        <v>263.7068001066994</v>
      </c>
      <c r="AB8" s="320">
        <f t="shared" si="1"/>
        <v>90.139561372141316</v>
      </c>
      <c r="AC8" s="320">
        <f t="shared" si="1"/>
        <v>0</v>
      </c>
      <c r="AD8" s="320">
        <f t="shared" si="1"/>
        <v>0</v>
      </c>
      <c r="AE8" s="320">
        <f t="shared" si="1"/>
        <v>0</v>
      </c>
      <c r="AF8" s="321">
        <f t="shared" si="1"/>
        <v>0</v>
      </c>
    </row>
    <row r="9" spans="1:32" ht="15">
      <c r="A9" s="296"/>
      <c r="B9" s="296" t="s">
        <v>55</v>
      </c>
      <c r="C9" s="296"/>
      <c r="D9" s="296"/>
      <c r="E9" s="296"/>
      <c r="F9" s="296"/>
      <c r="G9" s="296"/>
      <c r="H9" s="296"/>
      <c r="I9" s="296"/>
      <c r="J9" s="296"/>
      <c r="M9" s="309">
        <v>23</v>
      </c>
      <c r="N9" s="344">
        <f t="shared" si="0"/>
        <v>1536.7200430275916</v>
      </c>
      <c r="O9" s="344">
        <f t="shared" ref="O9:O19" si="2">SUM(Y9:AF9)</f>
        <v>1920.9000537844895</v>
      </c>
      <c r="P9" s="310">
        <v>18.0576152915954</v>
      </c>
      <c r="Q9" s="311">
        <v>5.2849850349946186</v>
      </c>
      <c r="R9" s="311">
        <v>26.176050147879607</v>
      </c>
      <c r="S9" s="311">
        <v>9.8564125761956376</v>
      </c>
      <c r="T9" s="311">
        <v>12.673938149163796</v>
      </c>
      <c r="U9" s="311">
        <v>2.3834432134263475</v>
      </c>
      <c r="V9" s="311">
        <v>0</v>
      </c>
      <c r="W9" s="311">
        <v>0</v>
      </c>
      <c r="X9" s="311">
        <v>0</v>
      </c>
      <c r="Y9" s="320">
        <f t="shared" ref="Y9:Y19" si="3">Q9*Q$5</f>
        <v>52.849850349946188</v>
      </c>
      <c r="Z9" s="320">
        <f t="shared" si="1"/>
        <v>654.40125369699012</v>
      </c>
      <c r="AA9" s="320">
        <f t="shared" si="1"/>
        <v>344.97444016684733</v>
      </c>
      <c r="AB9" s="320">
        <f t="shared" si="1"/>
        <v>697.06659820400876</v>
      </c>
      <c r="AC9" s="320">
        <f t="shared" si="1"/>
        <v>171.60791136669701</v>
      </c>
      <c r="AD9" s="320">
        <f t="shared" si="1"/>
        <v>0</v>
      </c>
      <c r="AE9" s="320">
        <f t="shared" si="1"/>
        <v>0</v>
      </c>
      <c r="AF9" s="321">
        <f t="shared" si="1"/>
        <v>0</v>
      </c>
    </row>
    <row r="10" spans="1:32" ht="15">
      <c r="A10" s="296"/>
      <c r="B10" s="296" t="s">
        <v>56</v>
      </c>
      <c r="C10" s="296"/>
      <c r="D10" s="296"/>
      <c r="E10" s="296"/>
      <c r="F10" s="296"/>
      <c r="G10" s="296"/>
      <c r="H10" s="296"/>
      <c r="I10" s="296"/>
      <c r="J10" s="296"/>
      <c r="M10" s="309">
        <v>29</v>
      </c>
      <c r="N10" s="344">
        <f t="shared" si="0"/>
        <v>2560.9916842903508</v>
      </c>
      <c r="O10" s="344">
        <f t="shared" si="2"/>
        <v>3201.2396053629382</v>
      </c>
      <c r="P10" s="310">
        <v>22.414717399597102</v>
      </c>
      <c r="Q10" s="311">
        <v>0.94952904463390786</v>
      </c>
      <c r="R10" s="311">
        <v>13.826035789448714</v>
      </c>
      <c r="S10" s="311">
        <v>13.555064376678823</v>
      </c>
      <c r="T10" s="311">
        <v>19.334016922511939</v>
      </c>
      <c r="U10" s="311">
        <v>18.170767170256468</v>
      </c>
      <c r="V10" s="311">
        <v>0</v>
      </c>
      <c r="W10" s="311">
        <v>0</v>
      </c>
      <c r="X10" s="311">
        <v>0</v>
      </c>
      <c r="Y10" s="320">
        <f t="shared" si="3"/>
        <v>9.4952904463390784</v>
      </c>
      <c r="Z10" s="320">
        <f t="shared" si="1"/>
        <v>345.65089473621782</v>
      </c>
      <c r="AA10" s="320">
        <f t="shared" si="1"/>
        <v>474.42725318375881</v>
      </c>
      <c r="AB10" s="320">
        <f t="shared" si="1"/>
        <v>1063.3709307381566</v>
      </c>
      <c r="AC10" s="320">
        <f t="shared" si="1"/>
        <v>1308.2952362584656</v>
      </c>
      <c r="AD10" s="320">
        <f t="shared" si="1"/>
        <v>0</v>
      </c>
      <c r="AE10" s="320">
        <f t="shared" si="1"/>
        <v>0</v>
      </c>
      <c r="AF10" s="321">
        <f t="shared" si="1"/>
        <v>0</v>
      </c>
    </row>
    <row r="11" spans="1:32" ht="15">
      <c r="A11" s="296"/>
      <c r="B11" s="296" t="s">
        <v>61</v>
      </c>
      <c r="C11" s="296"/>
      <c r="D11" s="296"/>
      <c r="E11" s="296"/>
      <c r="F11" s="296"/>
      <c r="G11" s="296"/>
      <c r="H11" s="296"/>
      <c r="I11" s="296"/>
      <c r="J11" s="296"/>
      <c r="M11" s="309">
        <v>35</v>
      </c>
      <c r="N11" s="344">
        <f t="shared" si="0"/>
        <v>4005.8715643940177</v>
      </c>
      <c r="O11" s="344">
        <f t="shared" si="2"/>
        <v>5007.3394554925217</v>
      </c>
      <c r="P11" s="310">
        <v>26.490654706954899</v>
      </c>
      <c r="Q11" s="311">
        <v>3.6664639986467212E-2</v>
      </c>
      <c r="R11" s="311">
        <v>5.0263573054867319</v>
      </c>
      <c r="S11" s="311">
        <v>7.6888429420393898</v>
      </c>
      <c r="T11" s="311">
        <v>25.352119711626184</v>
      </c>
      <c r="U11" s="311">
        <v>30.779793106910155</v>
      </c>
      <c r="V11" s="311">
        <v>12.366576366014057</v>
      </c>
      <c r="W11" s="311">
        <v>0</v>
      </c>
      <c r="X11" s="311">
        <v>0</v>
      </c>
      <c r="Y11" s="320">
        <f t="shared" si="3"/>
        <v>0.36664639986467212</v>
      </c>
      <c r="Z11" s="320">
        <f t="shared" si="1"/>
        <v>125.65893263716829</v>
      </c>
      <c r="AA11" s="320">
        <f t="shared" si="1"/>
        <v>269.10950297137862</v>
      </c>
      <c r="AB11" s="320">
        <f t="shared" si="1"/>
        <v>1394.3665841394402</v>
      </c>
      <c r="AC11" s="320">
        <f t="shared" si="1"/>
        <v>2216.1451036975313</v>
      </c>
      <c r="AD11" s="320">
        <f t="shared" si="1"/>
        <v>1001.6926856471385</v>
      </c>
      <c r="AE11" s="320">
        <f t="shared" si="1"/>
        <v>0</v>
      </c>
      <c r="AF11" s="321">
        <f t="shared" si="1"/>
        <v>0</v>
      </c>
    </row>
    <row r="12" spans="1:32" ht="15">
      <c r="A12" s="296"/>
      <c r="B12" s="297" t="s">
        <v>249</v>
      </c>
      <c r="C12" s="296"/>
      <c r="D12" s="296"/>
      <c r="E12" s="296"/>
      <c r="F12" s="296"/>
      <c r="G12" s="296"/>
      <c r="H12" s="296"/>
      <c r="I12" s="296"/>
      <c r="J12" s="296"/>
      <c r="M12" s="309">
        <v>41</v>
      </c>
      <c r="N12" s="344">
        <f t="shared" si="0"/>
        <v>5174.3085733400058</v>
      </c>
      <c r="O12" s="344">
        <f t="shared" si="2"/>
        <v>6467.8857166750067</v>
      </c>
      <c r="P12" s="310">
        <v>30.256224988937301</v>
      </c>
      <c r="Q12" s="311">
        <v>0</v>
      </c>
      <c r="R12" s="311">
        <v>0.83902419741310297</v>
      </c>
      <c r="S12" s="311">
        <v>2.0387129511574638</v>
      </c>
      <c r="T12" s="311">
        <v>13.948021901378656</v>
      </c>
      <c r="U12" s="311">
        <v>43.366052347594895</v>
      </c>
      <c r="V12" s="311">
        <v>23.119483505487256</v>
      </c>
      <c r="W12" s="311">
        <v>7.3901207337595283</v>
      </c>
      <c r="X12" s="311">
        <v>0</v>
      </c>
      <c r="Y12" s="320">
        <f t="shared" si="3"/>
        <v>0</v>
      </c>
      <c r="Z12" s="320">
        <f t="shared" si="1"/>
        <v>20.975604935327574</v>
      </c>
      <c r="AA12" s="320">
        <f t="shared" si="1"/>
        <v>71.354953290511233</v>
      </c>
      <c r="AB12" s="320">
        <f t="shared" si="1"/>
        <v>767.14120457582612</v>
      </c>
      <c r="AC12" s="320">
        <f t="shared" si="1"/>
        <v>3122.3557690268326</v>
      </c>
      <c r="AD12" s="320">
        <f t="shared" si="1"/>
        <v>1872.6781639444678</v>
      </c>
      <c r="AE12" s="320">
        <f t="shared" si="1"/>
        <v>613.38002090204088</v>
      </c>
      <c r="AF12" s="321">
        <f t="shared" si="1"/>
        <v>0</v>
      </c>
    </row>
    <row r="13" spans="1:32" ht="15">
      <c r="A13" s="296"/>
      <c r="B13" s="296" t="s">
        <v>23</v>
      </c>
      <c r="C13" s="296"/>
      <c r="D13" s="296"/>
      <c r="E13" s="296"/>
      <c r="F13" s="296"/>
      <c r="G13" s="296"/>
      <c r="H13" s="296"/>
      <c r="I13" s="296"/>
      <c r="J13" s="296"/>
      <c r="M13" s="309">
        <v>47</v>
      </c>
      <c r="N13" s="344">
        <f t="shared" si="0"/>
        <v>5540.2928775541404</v>
      </c>
      <c r="O13" s="344">
        <f t="shared" si="2"/>
        <v>6925.3660969426755</v>
      </c>
      <c r="P13" s="310">
        <v>33.7332238845825</v>
      </c>
      <c r="Q13" s="311">
        <v>0</v>
      </c>
      <c r="R13" s="311">
        <v>0</v>
      </c>
      <c r="S13" s="311">
        <v>0.19678584663917481</v>
      </c>
      <c r="T13" s="311">
        <v>4.1029113718729855</v>
      </c>
      <c r="U13" s="311">
        <v>31.271464985055346</v>
      </c>
      <c r="V13" s="311">
        <v>35.306627769067504</v>
      </c>
      <c r="W13" s="311">
        <v>18.73568616788107</v>
      </c>
      <c r="X13" s="311">
        <v>0.31028454946716522</v>
      </c>
      <c r="Y13" s="320">
        <f t="shared" si="3"/>
        <v>0</v>
      </c>
      <c r="Z13" s="320">
        <f t="shared" si="1"/>
        <v>0</v>
      </c>
      <c r="AA13" s="320">
        <f t="shared" si="1"/>
        <v>6.887504632371118</v>
      </c>
      <c r="AB13" s="320">
        <f t="shared" si="1"/>
        <v>225.66012545301419</v>
      </c>
      <c r="AC13" s="320">
        <f t="shared" si="1"/>
        <v>2251.5454789239848</v>
      </c>
      <c r="AD13" s="320">
        <f t="shared" si="1"/>
        <v>2859.8368492944678</v>
      </c>
      <c r="AE13" s="320">
        <f t="shared" si="1"/>
        <v>1555.0619519341287</v>
      </c>
      <c r="AF13" s="321">
        <f t="shared" si="1"/>
        <v>26.374186704709043</v>
      </c>
    </row>
    <row r="14" spans="1:32" ht="15">
      <c r="A14" s="296"/>
      <c r="B14" s="297" t="s">
        <v>253</v>
      </c>
      <c r="C14" s="296"/>
      <c r="D14" s="296"/>
      <c r="E14" s="296"/>
      <c r="F14" s="296"/>
      <c r="G14" s="296"/>
      <c r="H14" s="296"/>
      <c r="I14" s="296"/>
      <c r="J14" s="296"/>
      <c r="M14" s="309">
        <v>53</v>
      </c>
      <c r="N14" s="344">
        <f t="shared" si="0"/>
        <v>5689.2845978174155</v>
      </c>
      <c r="O14" s="344">
        <f t="shared" si="2"/>
        <v>7111.6057472717694</v>
      </c>
      <c r="P14" s="310">
        <v>36.952181663513102</v>
      </c>
      <c r="Q14" s="311">
        <v>0</v>
      </c>
      <c r="R14" s="311">
        <v>0</v>
      </c>
      <c r="S14" s="311">
        <v>0</v>
      </c>
      <c r="T14" s="311">
        <v>0.59203952806148086</v>
      </c>
      <c r="U14" s="311">
        <v>12.176128031148773</v>
      </c>
      <c r="V14" s="311">
        <v>42.041761478601117</v>
      </c>
      <c r="W14" s="311">
        <v>24.773670763724446</v>
      </c>
      <c r="X14" s="311">
        <v>8.7148823744689121</v>
      </c>
      <c r="Y14" s="320">
        <f t="shared" si="3"/>
        <v>0</v>
      </c>
      <c r="Z14" s="320">
        <f t="shared" si="1"/>
        <v>0</v>
      </c>
      <c r="AA14" s="320">
        <f t="shared" si="1"/>
        <v>0</v>
      </c>
      <c r="AB14" s="320">
        <f t="shared" si="1"/>
        <v>32.562174043381447</v>
      </c>
      <c r="AC14" s="320">
        <f t="shared" si="1"/>
        <v>876.68121824271168</v>
      </c>
      <c r="AD14" s="320">
        <f t="shared" si="1"/>
        <v>3405.3826797666907</v>
      </c>
      <c r="AE14" s="320">
        <f t="shared" si="1"/>
        <v>2056.2146733891291</v>
      </c>
      <c r="AF14" s="321">
        <f t="shared" si="1"/>
        <v>740.76500182985751</v>
      </c>
    </row>
    <row r="15" spans="1:32" ht="15">
      <c r="A15" s="296"/>
      <c r="B15" s="296"/>
      <c r="C15" s="296"/>
      <c r="D15" s="296"/>
      <c r="E15" s="296"/>
      <c r="F15" s="296"/>
      <c r="G15" s="296"/>
      <c r="H15" s="296"/>
      <c r="I15" s="296"/>
      <c r="J15" s="296"/>
      <c r="M15" s="309">
        <v>59</v>
      </c>
      <c r="N15" s="344">
        <f t="shared" si="0"/>
        <v>5761.7289911603038</v>
      </c>
      <c r="O15" s="344">
        <f t="shared" si="2"/>
        <v>7202.1612389503789</v>
      </c>
      <c r="P15" s="310">
        <v>39.9346520767211</v>
      </c>
      <c r="Q15" s="311">
        <v>0</v>
      </c>
      <c r="R15" s="311">
        <v>0</v>
      </c>
      <c r="S15" s="311">
        <v>0</v>
      </c>
      <c r="T15" s="311">
        <v>0</v>
      </c>
      <c r="U15" s="311">
        <v>2.0229442965816635</v>
      </c>
      <c r="V15" s="311">
        <v>24.019815926415156</v>
      </c>
      <c r="W15" s="311">
        <v>42.240254233774017</v>
      </c>
      <c r="X15" s="311">
        <v>18.881918331219143</v>
      </c>
      <c r="Y15" s="320">
        <f t="shared" si="3"/>
        <v>0</v>
      </c>
      <c r="Z15" s="320">
        <f t="shared" si="1"/>
        <v>0</v>
      </c>
      <c r="AA15" s="320">
        <f t="shared" si="1"/>
        <v>0</v>
      </c>
      <c r="AB15" s="320">
        <f t="shared" si="1"/>
        <v>0</v>
      </c>
      <c r="AC15" s="320">
        <f t="shared" si="1"/>
        <v>145.65198935387977</v>
      </c>
      <c r="AD15" s="320">
        <f t="shared" si="1"/>
        <v>1945.6050900396276</v>
      </c>
      <c r="AE15" s="320">
        <f t="shared" si="1"/>
        <v>3505.9411014032435</v>
      </c>
      <c r="AF15" s="321">
        <f t="shared" si="1"/>
        <v>1604.9630581536271</v>
      </c>
    </row>
    <row r="16" spans="1:32" ht="15">
      <c r="A16" s="296"/>
      <c r="B16" s="296" t="s">
        <v>70</v>
      </c>
      <c r="C16" s="296"/>
      <c r="D16" s="296"/>
      <c r="E16" s="296"/>
      <c r="F16" s="296"/>
      <c r="G16" s="296"/>
      <c r="H16" s="296"/>
      <c r="I16" s="296"/>
      <c r="J16" s="296"/>
      <c r="M16" s="309">
        <v>65</v>
      </c>
      <c r="N16" s="344">
        <f t="shared" si="0"/>
        <v>5770.8453828041866</v>
      </c>
      <c r="O16" s="344">
        <f t="shared" si="2"/>
        <v>7213.556728505233</v>
      </c>
      <c r="P16" s="310">
        <v>42.7109277954101</v>
      </c>
      <c r="Q16" s="311">
        <v>0</v>
      </c>
      <c r="R16" s="311">
        <v>0</v>
      </c>
      <c r="S16" s="311">
        <v>0</v>
      </c>
      <c r="T16" s="311">
        <v>0</v>
      </c>
      <c r="U16" s="311">
        <v>0</v>
      </c>
      <c r="V16" s="311">
        <v>5.0942593141690828</v>
      </c>
      <c r="W16" s="311">
        <v>41.636488470784279</v>
      </c>
      <c r="X16" s="311">
        <v>39.354037423322843</v>
      </c>
      <c r="Y16" s="320">
        <f t="shared" si="3"/>
        <v>0</v>
      </c>
      <c r="Z16" s="320">
        <f t="shared" si="1"/>
        <v>0</v>
      </c>
      <c r="AA16" s="320">
        <f t="shared" si="1"/>
        <v>0</v>
      </c>
      <c r="AB16" s="320">
        <f t="shared" si="1"/>
        <v>0</v>
      </c>
      <c r="AC16" s="320">
        <f t="shared" si="1"/>
        <v>0</v>
      </c>
      <c r="AD16" s="320">
        <f t="shared" si="1"/>
        <v>412.63500444769574</v>
      </c>
      <c r="AE16" s="320">
        <f t="shared" si="1"/>
        <v>3455.8285430750952</v>
      </c>
      <c r="AF16" s="321">
        <f t="shared" si="1"/>
        <v>3345.0931809824415</v>
      </c>
    </row>
    <row r="17" spans="1:32" ht="15">
      <c r="A17" s="296"/>
      <c r="B17" s="296"/>
      <c r="C17" s="296"/>
      <c r="D17" s="296"/>
      <c r="E17" s="296"/>
      <c r="F17" s="296"/>
      <c r="G17" s="296"/>
      <c r="H17" s="296"/>
      <c r="I17" s="296"/>
      <c r="J17" s="296"/>
      <c r="M17" s="309">
        <v>71</v>
      </c>
      <c r="N17" s="344">
        <f t="shared" si="0"/>
        <v>5662.2534919114651</v>
      </c>
      <c r="O17" s="344">
        <f t="shared" si="2"/>
        <v>7077.8168648893306</v>
      </c>
      <c r="P17" s="310">
        <v>45.2915352592468</v>
      </c>
      <c r="Q17" s="311">
        <v>0</v>
      </c>
      <c r="R17" s="311">
        <v>0</v>
      </c>
      <c r="S17" s="311">
        <v>0</v>
      </c>
      <c r="T17" s="311">
        <v>0</v>
      </c>
      <c r="U17" s="311">
        <v>0</v>
      </c>
      <c r="V17" s="311">
        <v>1.6266777175246256</v>
      </c>
      <c r="W17" s="311">
        <v>18.156986779007536</v>
      </c>
      <c r="X17" s="311">
        <v>63.988541966026006</v>
      </c>
      <c r="Y17" s="320">
        <f t="shared" si="3"/>
        <v>0</v>
      </c>
      <c r="Z17" s="320">
        <f t="shared" si="1"/>
        <v>0</v>
      </c>
      <c r="AA17" s="320">
        <f t="shared" si="1"/>
        <v>0</v>
      </c>
      <c r="AB17" s="320">
        <f t="shared" si="1"/>
        <v>0</v>
      </c>
      <c r="AC17" s="320">
        <f t="shared" si="1"/>
        <v>0</v>
      </c>
      <c r="AD17" s="320">
        <f t="shared" si="1"/>
        <v>131.76089511949468</v>
      </c>
      <c r="AE17" s="320">
        <f t="shared" si="1"/>
        <v>1507.0299026576254</v>
      </c>
      <c r="AF17" s="321">
        <f t="shared" si="1"/>
        <v>5439.0260671122105</v>
      </c>
    </row>
    <row r="18" spans="1:32" ht="15">
      <c r="A18" s="296"/>
      <c r="B18" s="296" t="s">
        <v>71</v>
      </c>
      <c r="C18" s="296"/>
      <c r="D18" s="296"/>
      <c r="E18" s="296"/>
      <c r="F18" s="296"/>
      <c r="G18" s="296"/>
      <c r="H18" s="296"/>
      <c r="I18" s="296"/>
      <c r="J18" s="296"/>
      <c r="M18" s="309">
        <v>77</v>
      </c>
      <c r="N18" s="344">
        <f t="shared" si="0"/>
        <v>5608.6468315008278</v>
      </c>
      <c r="O18" s="344">
        <f t="shared" si="2"/>
        <v>7010.8085393760348</v>
      </c>
      <c r="P18" s="310">
        <v>47.694570224761897</v>
      </c>
      <c r="Q18" s="311">
        <v>0</v>
      </c>
      <c r="R18" s="311">
        <v>0</v>
      </c>
      <c r="S18" s="311">
        <v>0</v>
      </c>
      <c r="T18" s="311">
        <v>0</v>
      </c>
      <c r="U18" s="311">
        <v>0</v>
      </c>
      <c r="V18" s="311">
        <v>0</v>
      </c>
      <c r="W18" s="311">
        <v>3.8325955885547147</v>
      </c>
      <c r="X18" s="311">
        <v>78.737683594423444</v>
      </c>
      <c r="Y18" s="320">
        <f t="shared" si="3"/>
        <v>0</v>
      </c>
      <c r="Z18" s="320">
        <f t="shared" si="1"/>
        <v>0</v>
      </c>
      <c r="AA18" s="320">
        <f t="shared" si="1"/>
        <v>0</v>
      </c>
      <c r="AB18" s="320">
        <f t="shared" si="1"/>
        <v>0</v>
      </c>
      <c r="AC18" s="320">
        <f t="shared" si="1"/>
        <v>0</v>
      </c>
      <c r="AD18" s="320">
        <f t="shared" si="1"/>
        <v>0</v>
      </c>
      <c r="AE18" s="320">
        <f t="shared" si="1"/>
        <v>318.10543385004132</v>
      </c>
      <c r="AF18" s="321">
        <f t="shared" si="1"/>
        <v>6692.7031055259931</v>
      </c>
    </row>
    <row r="19" spans="1:32" ht="15">
      <c r="A19" s="296"/>
      <c r="B19" s="296"/>
      <c r="C19" s="296"/>
      <c r="D19" s="296"/>
      <c r="E19" s="296"/>
      <c r="F19" s="296"/>
      <c r="G19" s="296"/>
      <c r="H19" s="296"/>
      <c r="I19" s="296"/>
      <c r="J19" s="296"/>
      <c r="M19" s="312">
        <v>83</v>
      </c>
      <c r="N19" s="345">
        <f t="shared" si="0"/>
        <v>56673.058976645865</v>
      </c>
      <c r="O19" s="345">
        <f t="shared" si="2"/>
        <v>70841.323720807326</v>
      </c>
      <c r="P19" s="313">
        <v>49.918650207519498</v>
      </c>
      <c r="Q19" s="314">
        <v>0</v>
      </c>
      <c r="R19" s="314">
        <v>0</v>
      </c>
      <c r="S19" s="314">
        <v>0</v>
      </c>
      <c r="T19" s="314">
        <v>0</v>
      </c>
      <c r="U19" s="314">
        <v>0</v>
      </c>
      <c r="V19" s="314">
        <v>0</v>
      </c>
      <c r="W19" s="314">
        <v>0</v>
      </c>
      <c r="X19" s="314">
        <v>833.42733789185093</v>
      </c>
      <c r="Y19" s="322">
        <f t="shared" si="3"/>
        <v>0</v>
      </c>
      <c r="Z19" s="322">
        <f t="shared" si="1"/>
        <v>0</v>
      </c>
      <c r="AA19" s="322">
        <f t="shared" si="1"/>
        <v>0</v>
      </c>
      <c r="AB19" s="322">
        <f t="shared" si="1"/>
        <v>0</v>
      </c>
      <c r="AC19" s="322">
        <f t="shared" si="1"/>
        <v>0</v>
      </c>
      <c r="AD19" s="322">
        <f t="shared" si="1"/>
        <v>0</v>
      </c>
      <c r="AE19" s="322">
        <f t="shared" si="1"/>
        <v>0</v>
      </c>
      <c r="AF19" s="323">
        <f t="shared" si="1"/>
        <v>70841.323720807326</v>
      </c>
    </row>
    <row r="20" spans="1:32">
      <c r="A20" s="298" t="s">
        <v>45</v>
      </c>
      <c r="B20" s="298" t="s">
        <v>74</v>
      </c>
      <c r="C20" s="298"/>
      <c r="D20" s="298"/>
      <c r="E20" s="298"/>
      <c r="F20" s="298"/>
      <c r="G20" s="298"/>
      <c r="H20" s="298"/>
      <c r="I20" s="298"/>
      <c r="J20" s="298"/>
    </row>
    <row r="21" spans="1:32">
      <c r="A21" s="298"/>
      <c r="B21" s="299" t="s">
        <v>242</v>
      </c>
      <c r="C21" s="298"/>
      <c r="D21" s="298"/>
      <c r="E21" s="298"/>
      <c r="F21" s="298"/>
      <c r="G21" s="298"/>
      <c r="H21" s="298"/>
      <c r="I21" s="298"/>
      <c r="J21" s="298"/>
      <c r="M21" s="2" t="s">
        <v>300</v>
      </c>
    </row>
    <row r="22" spans="1:32">
      <c r="A22" s="304" t="s">
        <v>44</v>
      </c>
      <c r="B22" s="304" t="s">
        <v>266</v>
      </c>
      <c r="C22" s="305"/>
      <c r="D22" s="305"/>
      <c r="E22" s="305"/>
      <c r="F22" s="305"/>
      <c r="G22" s="305"/>
      <c r="H22" s="305"/>
      <c r="I22" s="305"/>
      <c r="J22" s="305"/>
    </row>
    <row r="23" spans="1:32" ht="15">
      <c r="A23" s="302" t="s">
        <v>48</v>
      </c>
      <c r="B23" s="303" t="s">
        <v>146</v>
      </c>
      <c r="C23" s="302"/>
      <c r="D23" s="302"/>
      <c r="E23" s="302"/>
      <c r="F23" s="302"/>
      <c r="G23" s="302"/>
      <c r="H23" s="302"/>
      <c r="I23" s="302"/>
      <c r="J23" s="302"/>
      <c r="M23" s="800" t="s">
        <v>177</v>
      </c>
      <c r="N23" s="324"/>
      <c r="O23" s="324"/>
      <c r="P23" s="800" t="s">
        <v>17</v>
      </c>
      <c r="Q23" s="800" t="s">
        <v>238</v>
      </c>
      <c r="R23" s="800"/>
      <c r="S23" s="800"/>
      <c r="T23" s="800"/>
      <c r="U23" s="800"/>
      <c r="V23" s="800"/>
      <c r="W23" s="800"/>
      <c r="X23" s="800"/>
      <c r="Y23" s="797" t="s">
        <v>448</v>
      </c>
      <c r="Z23" s="798"/>
      <c r="AA23" s="798"/>
      <c r="AB23" s="798"/>
      <c r="AC23" s="798"/>
      <c r="AD23" s="798"/>
      <c r="AE23" s="798"/>
      <c r="AF23" s="799"/>
    </row>
    <row r="24" spans="1:32" ht="15">
      <c r="M24" s="800"/>
      <c r="N24" s="340" t="s">
        <v>299</v>
      </c>
      <c r="O24" s="340" t="s">
        <v>298</v>
      </c>
      <c r="P24" s="800"/>
      <c r="Q24" s="325" t="s">
        <v>214</v>
      </c>
      <c r="R24" s="325" t="s">
        <v>213</v>
      </c>
      <c r="S24" s="325" t="s">
        <v>212</v>
      </c>
      <c r="T24" s="325" t="s">
        <v>211</v>
      </c>
      <c r="U24" s="325" t="s">
        <v>210</v>
      </c>
      <c r="V24" s="325" t="s">
        <v>209</v>
      </c>
      <c r="W24" s="325" t="s">
        <v>208</v>
      </c>
      <c r="X24" s="325" t="s">
        <v>207</v>
      </c>
      <c r="Y24" s="319" t="s">
        <v>214</v>
      </c>
      <c r="Z24" s="319" t="s">
        <v>213</v>
      </c>
      <c r="AA24" s="319" t="s">
        <v>212</v>
      </c>
      <c r="AB24" s="319" t="s">
        <v>211</v>
      </c>
      <c r="AC24" s="319" t="s">
        <v>210</v>
      </c>
      <c r="AD24" s="319" t="s">
        <v>209</v>
      </c>
      <c r="AE24" s="319" t="s">
        <v>208</v>
      </c>
      <c r="AF24" s="319" t="s">
        <v>207</v>
      </c>
    </row>
    <row r="25" spans="1:32" ht="15">
      <c r="M25" s="326">
        <v>17</v>
      </c>
      <c r="N25" s="341">
        <f t="shared" ref="N25:N36" si="4">O25*(1-$N$2)</f>
        <v>2983.9891468756095</v>
      </c>
      <c r="O25" s="341">
        <f>SUM(Y25:AF25)</f>
        <v>3729.9864335945117</v>
      </c>
      <c r="P25" s="327">
        <v>13.4950675954818</v>
      </c>
      <c r="Q25" s="328">
        <v>28.660366255576125</v>
      </c>
      <c r="R25" s="328">
        <v>88.825485229076889</v>
      </c>
      <c r="S25" s="328">
        <v>26.820758087918033</v>
      </c>
      <c r="T25" s="328">
        <v>5.1639837679035789</v>
      </c>
      <c r="U25" s="328">
        <v>0</v>
      </c>
      <c r="V25" s="328">
        <v>0</v>
      </c>
      <c r="W25" s="328">
        <v>0</v>
      </c>
      <c r="X25" s="328">
        <v>0</v>
      </c>
      <c r="Y25" s="320">
        <f>Q25*Q$5</f>
        <v>286.60366255576128</v>
      </c>
      <c r="Z25" s="320">
        <f t="shared" ref="Z25:Z36" si="5">R25*R$5</f>
        <v>2220.6371307269224</v>
      </c>
      <c r="AA25" s="320">
        <f t="shared" ref="AA25:AA36" si="6">S25*S$5</f>
        <v>938.72653307713119</v>
      </c>
      <c r="AB25" s="320">
        <f t="shared" ref="AB25:AB36" si="7">T25*T$5</f>
        <v>284.01910723469683</v>
      </c>
      <c r="AC25" s="320">
        <f t="shared" ref="AC25:AC36" si="8">U25*U$5</f>
        <v>0</v>
      </c>
      <c r="AD25" s="320">
        <f t="shared" ref="AD25:AD36" si="9">V25*V$5</f>
        <v>0</v>
      </c>
      <c r="AE25" s="320">
        <f t="shared" ref="AE25:AE36" si="10">W25*W$5</f>
        <v>0</v>
      </c>
      <c r="AF25" s="321">
        <f t="shared" ref="AF25:AF36" si="11">X25*X$5</f>
        <v>0</v>
      </c>
    </row>
    <row r="26" spans="1:32" ht="15">
      <c r="M26" s="326">
        <v>23</v>
      </c>
      <c r="N26" s="341">
        <f t="shared" si="4"/>
        <v>7934.2573310335247</v>
      </c>
      <c r="O26" s="341">
        <f t="shared" ref="O26:O36" si="12">SUM(Y26:AF26)</f>
        <v>9917.8216637919049</v>
      </c>
      <c r="P26" s="327">
        <v>18.0576152915954</v>
      </c>
      <c r="Q26" s="328">
        <v>7.8798013289545281</v>
      </c>
      <c r="R26" s="328">
        <v>71.201218864458397</v>
      </c>
      <c r="S26" s="328">
        <v>56.34151926302706</v>
      </c>
      <c r="T26" s="328">
        <v>88.993734587704523</v>
      </c>
      <c r="U26" s="328">
        <v>16.560897255016727</v>
      </c>
      <c r="V26" s="328">
        <v>0</v>
      </c>
      <c r="W26" s="328">
        <v>0</v>
      </c>
      <c r="X26" s="328">
        <v>0</v>
      </c>
      <c r="Y26" s="320">
        <f t="shared" ref="Y26:Y36" si="13">Q26*Q$5</f>
        <v>78.798013289545281</v>
      </c>
      <c r="Z26" s="320">
        <f t="shared" si="5"/>
        <v>1780.0304716114599</v>
      </c>
      <c r="AA26" s="320">
        <f t="shared" si="6"/>
        <v>1971.9531742059471</v>
      </c>
      <c r="AB26" s="320">
        <f t="shared" si="7"/>
        <v>4894.6554023237486</v>
      </c>
      <c r="AC26" s="320">
        <f t="shared" si="8"/>
        <v>1192.3846023612043</v>
      </c>
      <c r="AD26" s="320">
        <f t="shared" si="9"/>
        <v>0</v>
      </c>
      <c r="AE26" s="320">
        <f t="shared" si="10"/>
        <v>0</v>
      </c>
      <c r="AF26" s="321">
        <f t="shared" si="11"/>
        <v>0</v>
      </c>
    </row>
    <row r="27" spans="1:32" ht="15">
      <c r="M27" s="326">
        <v>29</v>
      </c>
      <c r="N27" s="341">
        <f t="shared" si="4"/>
        <v>15272.206327832799</v>
      </c>
      <c r="O27" s="341">
        <f t="shared" si="12"/>
        <v>19090.257909790998</v>
      </c>
      <c r="P27" s="327">
        <v>22.414717399597102</v>
      </c>
      <c r="Q27" s="328">
        <v>1.2094616765120618</v>
      </c>
      <c r="R27" s="328">
        <v>25.719708248790795</v>
      </c>
      <c r="S27" s="328">
        <v>36.939561651090763</v>
      </c>
      <c r="T27" s="328">
        <v>124.40288152302954</v>
      </c>
      <c r="U27" s="328">
        <v>143.05732562849036</v>
      </c>
      <c r="V27" s="328">
        <v>0</v>
      </c>
      <c r="W27" s="328">
        <v>0</v>
      </c>
      <c r="X27" s="328">
        <v>0</v>
      </c>
      <c r="Y27" s="320">
        <f t="shared" si="13"/>
        <v>12.094616765120618</v>
      </c>
      <c r="Z27" s="320">
        <f t="shared" si="5"/>
        <v>642.99270621976984</v>
      </c>
      <c r="AA27" s="320">
        <f t="shared" si="6"/>
        <v>1292.8846577881768</v>
      </c>
      <c r="AB27" s="320">
        <f t="shared" si="7"/>
        <v>6842.1584837666242</v>
      </c>
      <c r="AC27" s="320">
        <f t="shared" si="8"/>
        <v>10300.127445251306</v>
      </c>
      <c r="AD27" s="320">
        <f t="shared" si="9"/>
        <v>0</v>
      </c>
      <c r="AE27" s="320">
        <f t="shared" si="10"/>
        <v>0</v>
      </c>
      <c r="AF27" s="321">
        <f t="shared" si="11"/>
        <v>0</v>
      </c>
    </row>
    <row r="28" spans="1:32" ht="15">
      <c r="M28" s="326">
        <v>35</v>
      </c>
      <c r="N28" s="341">
        <f t="shared" si="4"/>
        <v>23069.125819075558</v>
      </c>
      <c r="O28" s="341">
        <f t="shared" si="12"/>
        <v>28836.407273844445</v>
      </c>
      <c r="P28" s="327">
        <v>26.490654706954899</v>
      </c>
      <c r="Q28" s="328">
        <v>3.6664639986467212E-2</v>
      </c>
      <c r="R28" s="328">
        <v>6.7020027449418293</v>
      </c>
      <c r="S28" s="328">
        <v>13.706015775190885</v>
      </c>
      <c r="T28" s="328">
        <v>74.625470885543194</v>
      </c>
      <c r="U28" s="328">
        <v>219.89976097957026</v>
      </c>
      <c r="V28" s="328">
        <v>101.87155947475826</v>
      </c>
      <c r="W28" s="328">
        <v>0</v>
      </c>
      <c r="X28" s="328">
        <v>0</v>
      </c>
      <c r="Y28" s="320">
        <f t="shared" si="13"/>
        <v>0.36664639986467212</v>
      </c>
      <c r="Z28" s="320">
        <f t="shared" si="5"/>
        <v>167.55006862354574</v>
      </c>
      <c r="AA28" s="320">
        <f t="shared" si="6"/>
        <v>479.71055213168097</v>
      </c>
      <c r="AB28" s="320">
        <f t="shared" si="7"/>
        <v>4104.4008987048755</v>
      </c>
      <c r="AC28" s="320">
        <f t="shared" si="8"/>
        <v>15832.782790529058</v>
      </c>
      <c r="AD28" s="320">
        <f t="shared" si="9"/>
        <v>8251.5963174554181</v>
      </c>
      <c r="AE28" s="320">
        <f t="shared" si="10"/>
        <v>0</v>
      </c>
      <c r="AF28" s="321">
        <f t="shared" si="11"/>
        <v>0</v>
      </c>
    </row>
    <row r="29" spans="1:32" ht="15">
      <c r="C29" s="12"/>
      <c r="D29" s="12"/>
      <c r="E29" s="12"/>
      <c r="F29" s="12"/>
      <c r="M29" s="326">
        <v>41</v>
      </c>
      <c r="N29" s="341">
        <f t="shared" si="4"/>
        <v>29596.653342506557</v>
      </c>
      <c r="O29" s="341">
        <f t="shared" si="12"/>
        <v>36995.816678133197</v>
      </c>
      <c r="P29" s="327">
        <v>30.256224988937301</v>
      </c>
      <c r="Q29" s="328">
        <v>0</v>
      </c>
      <c r="R29" s="328">
        <v>0.9374230767475189</v>
      </c>
      <c r="S29" s="328">
        <v>2.9713809888549467</v>
      </c>
      <c r="T29" s="328">
        <v>26.191631515225275</v>
      </c>
      <c r="U29" s="328">
        <v>179.72750183739009</v>
      </c>
      <c r="V29" s="328">
        <v>226.92914682113337</v>
      </c>
      <c r="W29" s="328">
        <v>49.472313354979576</v>
      </c>
      <c r="X29" s="328">
        <v>0</v>
      </c>
      <c r="Y29" s="320">
        <f t="shared" si="13"/>
        <v>0</v>
      </c>
      <c r="Z29" s="320">
        <f t="shared" si="5"/>
        <v>23.435576918687971</v>
      </c>
      <c r="AA29" s="320">
        <f t="shared" si="6"/>
        <v>103.99833460992313</v>
      </c>
      <c r="AB29" s="320">
        <f t="shared" si="7"/>
        <v>1440.5397333373901</v>
      </c>
      <c r="AC29" s="320">
        <f t="shared" si="8"/>
        <v>12940.380132292086</v>
      </c>
      <c r="AD29" s="320">
        <f t="shared" si="9"/>
        <v>18381.260892511804</v>
      </c>
      <c r="AE29" s="320">
        <f t="shared" si="10"/>
        <v>4106.202008463305</v>
      </c>
      <c r="AF29" s="321">
        <f t="shared" si="11"/>
        <v>0</v>
      </c>
    </row>
    <row r="30" spans="1:32" ht="15">
      <c r="M30" s="326">
        <v>47</v>
      </c>
      <c r="N30" s="341">
        <f t="shared" si="4"/>
        <v>34832.752863001733</v>
      </c>
      <c r="O30" s="341">
        <f t="shared" si="12"/>
        <v>43540.941078752163</v>
      </c>
      <c r="P30" s="327">
        <v>33.7332238845825</v>
      </c>
      <c r="Q30" s="328">
        <v>0</v>
      </c>
      <c r="R30" s="328">
        <v>0</v>
      </c>
      <c r="S30" s="328">
        <v>0.23707500880148194</v>
      </c>
      <c r="T30" s="328">
        <v>6.0709000852798436</v>
      </c>
      <c r="U30" s="328">
        <v>76.232963506867875</v>
      </c>
      <c r="V30" s="328">
        <v>256.69965822357238</v>
      </c>
      <c r="W30" s="328">
        <v>198.09379857424358</v>
      </c>
      <c r="X30" s="328">
        <v>5.5942703351488019</v>
      </c>
      <c r="Y30" s="320">
        <f t="shared" si="13"/>
        <v>0</v>
      </c>
      <c r="Z30" s="320">
        <f t="shared" si="5"/>
        <v>0</v>
      </c>
      <c r="AA30" s="320">
        <f t="shared" si="6"/>
        <v>8.2976253080518685</v>
      </c>
      <c r="AB30" s="320">
        <f t="shared" si="7"/>
        <v>333.89950469039138</v>
      </c>
      <c r="AC30" s="320">
        <f t="shared" si="8"/>
        <v>5488.7733724944874</v>
      </c>
      <c r="AD30" s="320">
        <f t="shared" si="9"/>
        <v>20792.672316109361</v>
      </c>
      <c r="AE30" s="320">
        <f t="shared" si="10"/>
        <v>16441.785281662218</v>
      </c>
      <c r="AF30" s="321">
        <f t="shared" si="11"/>
        <v>475.51297848764818</v>
      </c>
    </row>
    <row r="31" spans="1:32" ht="15">
      <c r="M31" s="326">
        <v>53</v>
      </c>
      <c r="N31" s="341">
        <f t="shared" si="4"/>
        <v>39348.673058287015</v>
      </c>
      <c r="O31" s="341">
        <f t="shared" si="12"/>
        <v>49185.841322858767</v>
      </c>
      <c r="P31" s="327">
        <v>36.952181663513102</v>
      </c>
      <c r="Q31" s="328">
        <v>0</v>
      </c>
      <c r="R31" s="328">
        <v>0</v>
      </c>
      <c r="S31" s="328">
        <v>0</v>
      </c>
      <c r="T31" s="328">
        <v>0.66367442204160543</v>
      </c>
      <c r="U31" s="328">
        <v>20.825070273044414</v>
      </c>
      <c r="V31" s="328">
        <v>165.26032373522952</v>
      </c>
      <c r="W31" s="328">
        <v>287.82114471804664</v>
      </c>
      <c r="X31" s="328">
        <v>122.05521100983312</v>
      </c>
      <c r="Y31" s="320">
        <f t="shared" si="13"/>
        <v>0</v>
      </c>
      <c r="Z31" s="320">
        <f t="shared" si="5"/>
        <v>0</v>
      </c>
      <c r="AA31" s="320">
        <f t="shared" si="6"/>
        <v>0</v>
      </c>
      <c r="AB31" s="320">
        <f t="shared" si="7"/>
        <v>36.502093212288301</v>
      </c>
      <c r="AC31" s="320">
        <f t="shared" si="8"/>
        <v>1499.4050596591978</v>
      </c>
      <c r="AD31" s="320">
        <f t="shared" si="9"/>
        <v>13386.086222553591</v>
      </c>
      <c r="AE31" s="320">
        <f t="shared" si="10"/>
        <v>23889.155011597872</v>
      </c>
      <c r="AF31" s="321">
        <f t="shared" si="11"/>
        <v>10374.692935835816</v>
      </c>
    </row>
    <row r="32" spans="1:32" ht="15">
      <c r="M32" s="326">
        <v>59</v>
      </c>
      <c r="N32" s="341">
        <f t="shared" si="4"/>
        <v>43435.429162939792</v>
      </c>
      <c r="O32" s="341">
        <f t="shared" si="12"/>
        <v>54294.286453674737</v>
      </c>
      <c r="P32" s="327">
        <v>39.9346520767211</v>
      </c>
      <c r="Q32" s="328">
        <v>0</v>
      </c>
      <c r="R32" s="328">
        <v>0</v>
      </c>
      <c r="S32" s="328">
        <v>0</v>
      </c>
      <c r="T32" s="328">
        <v>0</v>
      </c>
      <c r="U32" s="328">
        <v>2.8088996653113014</v>
      </c>
      <c r="V32" s="328">
        <v>54.443977507338126</v>
      </c>
      <c r="W32" s="328">
        <v>276.44534796658633</v>
      </c>
      <c r="X32" s="328">
        <v>314.55434845236795</v>
      </c>
      <c r="Y32" s="320">
        <f t="shared" si="13"/>
        <v>0</v>
      </c>
      <c r="Z32" s="320">
        <f t="shared" si="5"/>
        <v>0</v>
      </c>
      <c r="AA32" s="320">
        <f t="shared" si="6"/>
        <v>0</v>
      </c>
      <c r="AB32" s="320">
        <f t="shared" si="7"/>
        <v>0</v>
      </c>
      <c r="AC32" s="320">
        <f t="shared" si="8"/>
        <v>202.2407759024137</v>
      </c>
      <c r="AD32" s="320">
        <f t="shared" si="9"/>
        <v>4409.962178094388</v>
      </c>
      <c r="AE32" s="320">
        <f t="shared" si="10"/>
        <v>22944.963881226664</v>
      </c>
      <c r="AF32" s="321">
        <f t="shared" si="11"/>
        <v>26737.119618451274</v>
      </c>
    </row>
    <row r="33" spans="2:32" ht="15">
      <c r="M33" s="326">
        <v>65</v>
      </c>
      <c r="N33" s="341">
        <f t="shared" si="4"/>
        <v>47148.595557317691</v>
      </c>
      <c r="O33" s="341">
        <f t="shared" si="12"/>
        <v>58935.744446647106</v>
      </c>
      <c r="P33" s="327">
        <v>42.7109277954101</v>
      </c>
      <c r="Q33" s="328">
        <v>0</v>
      </c>
      <c r="R33" s="328">
        <v>0</v>
      </c>
      <c r="S33" s="328">
        <v>0</v>
      </c>
      <c r="T33" s="328">
        <v>0</v>
      </c>
      <c r="U33" s="328">
        <v>0</v>
      </c>
      <c r="V33" s="328">
        <v>11.983604584020963</v>
      </c>
      <c r="W33" s="328">
        <v>140.16529070565039</v>
      </c>
      <c r="X33" s="328">
        <v>545.07474525614623</v>
      </c>
      <c r="Y33" s="320">
        <f t="shared" si="13"/>
        <v>0</v>
      </c>
      <c r="Z33" s="320">
        <f t="shared" si="5"/>
        <v>0</v>
      </c>
      <c r="AA33" s="320">
        <f t="shared" si="6"/>
        <v>0</v>
      </c>
      <c r="AB33" s="320">
        <f t="shared" si="7"/>
        <v>0</v>
      </c>
      <c r="AC33" s="320">
        <f t="shared" si="8"/>
        <v>0</v>
      </c>
      <c r="AD33" s="320">
        <f t="shared" si="9"/>
        <v>970.67197130569798</v>
      </c>
      <c r="AE33" s="320">
        <f t="shared" si="10"/>
        <v>11633.719128568982</v>
      </c>
      <c r="AF33" s="321">
        <f t="shared" si="11"/>
        <v>46331.353346772426</v>
      </c>
    </row>
    <row r="34" spans="2:32" ht="15">
      <c r="M34" s="326">
        <v>71</v>
      </c>
      <c r="N34" s="341">
        <f t="shared" si="4"/>
        <v>50506.910257969357</v>
      </c>
      <c r="O34" s="341">
        <f t="shared" si="12"/>
        <v>63133.637822461693</v>
      </c>
      <c r="P34" s="327">
        <v>45.2915352592468</v>
      </c>
      <c r="Q34" s="328">
        <v>0</v>
      </c>
      <c r="R34" s="328">
        <v>0</v>
      </c>
      <c r="S34" s="328">
        <v>0</v>
      </c>
      <c r="T34" s="328">
        <v>0</v>
      </c>
      <c r="U34" s="328">
        <v>0</v>
      </c>
      <c r="V34" s="328">
        <v>1.8662813977642929</v>
      </c>
      <c r="W34" s="328">
        <v>37.523315493586011</v>
      </c>
      <c r="X34" s="328">
        <v>704.32980992088403</v>
      </c>
      <c r="Y34" s="320">
        <f t="shared" si="13"/>
        <v>0</v>
      </c>
      <c r="Z34" s="320">
        <f t="shared" si="5"/>
        <v>0</v>
      </c>
      <c r="AA34" s="320">
        <f t="shared" si="6"/>
        <v>0</v>
      </c>
      <c r="AB34" s="320">
        <f t="shared" si="7"/>
        <v>0</v>
      </c>
      <c r="AC34" s="320">
        <f t="shared" si="8"/>
        <v>0</v>
      </c>
      <c r="AD34" s="320">
        <f t="shared" si="9"/>
        <v>151.16879321890772</v>
      </c>
      <c r="AE34" s="320">
        <f t="shared" si="10"/>
        <v>3114.435185967639</v>
      </c>
      <c r="AF34" s="321">
        <f t="shared" si="11"/>
        <v>59868.033843275145</v>
      </c>
    </row>
    <row r="35" spans="2:32" ht="15">
      <c r="M35" s="326">
        <v>77</v>
      </c>
      <c r="N35" s="341">
        <f t="shared" si="4"/>
        <v>53638.729049684902</v>
      </c>
      <c r="O35" s="341">
        <f t="shared" si="12"/>
        <v>67048.411312106124</v>
      </c>
      <c r="P35" s="327">
        <v>47.694570224761897</v>
      </c>
      <c r="Q35" s="328">
        <v>0</v>
      </c>
      <c r="R35" s="328">
        <v>0</v>
      </c>
      <c r="S35" s="328">
        <v>0</v>
      </c>
      <c r="T35" s="328">
        <v>0</v>
      </c>
      <c r="U35" s="328">
        <v>0</v>
      </c>
      <c r="V35" s="328">
        <v>0</v>
      </c>
      <c r="W35" s="328">
        <v>5.6274806854842501</v>
      </c>
      <c r="X35" s="328">
        <v>783.30976959071688</v>
      </c>
      <c r="Y35" s="320">
        <f t="shared" si="13"/>
        <v>0</v>
      </c>
      <c r="Z35" s="320">
        <f t="shared" si="5"/>
        <v>0</v>
      </c>
      <c r="AA35" s="320">
        <f t="shared" si="6"/>
        <v>0</v>
      </c>
      <c r="AB35" s="320">
        <f t="shared" si="7"/>
        <v>0</v>
      </c>
      <c r="AC35" s="320">
        <f t="shared" si="8"/>
        <v>0</v>
      </c>
      <c r="AD35" s="320">
        <f t="shared" si="9"/>
        <v>0</v>
      </c>
      <c r="AE35" s="320">
        <f t="shared" si="10"/>
        <v>467.08089689519278</v>
      </c>
      <c r="AF35" s="321">
        <f t="shared" si="11"/>
        <v>66581.330415210934</v>
      </c>
    </row>
    <row r="36" spans="2:32" ht="15">
      <c r="B36" t="s">
        <v>10</v>
      </c>
      <c r="M36" s="329">
        <v>83</v>
      </c>
      <c r="N36" s="342">
        <f t="shared" si="4"/>
        <v>56673.058976645865</v>
      </c>
      <c r="O36" s="342">
        <f t="shared" si="12"/>
        <v>70841.323720807326</v>
      </c>
      <c r="P36" s="330">
        <v>49.918650207519498</v>
      </c>
      <c r="Q36" s="331">
        <v>0</v>
      </c>
      <c r="R36" s="331">
        <v>0</v>
      </c>
      <c r="S36" s="331">
        <v>0</v>
      </c>
      <c r="T36" s="331">
        <v>0</v>
      </c>
      <c r="U36" s="331">
        <v>0</v>
      </c>
      <c r="V36" s="331">
        <v>0</v>
      </c>
      <c r="W36" s="331">
        <v>0</v>
      </c>
      <c r="X36" s="331">
        <v>833.42733789185093</v>
      </c>
      <c r="Y36" s="322">
        <f t="shared" si="13"/>
        <v>0</v>
      </c>
      <c r="Z36" s="322">
        <f t="shared" si="5"/>
        <v>0</v>
      </c>
      <c r="AA36" s="322">
        <f t="shared" si="6"/>
        <v>0</v>
      </c>
      <c r="AB36" s="322">
        <f t="shared" si="7"/>
        <v>0</v>
      </c>
      <c r="AC36" s="322">
        <f t="shared" si="8"/>
        <v>0</v>
      </c>
      <c r="AD36" s="322">
        <f t="shared" si="9"/>
        <v>0</v>
      </c>
      <c r="AE36" s="322">
        <f t="shared" si="10"/>
        <v>0</v>
      </c>
      <c r="AF36" s="323">
        <f t="shared" si="11"/>
        <v>70841.323720807326</v>
      </c>
    </row>
    <row r="37" spans="2:32" ht="15">
      <c r="M37" s="120"/>
      <c r="N37" s="164"/>
      <c r="O37" s="164"/>
      <c r="Q37" s="165"/>
      <c r="R37" s="165"/>
      <c r="S37" s="165"/>
      <c r="T37" s="165"/>
      <c r="U37" s="165"/>
      <c r="V37" s="165"/>
      <c r="W37" s="165"/>
      <c r="X37" s="165"/>
    </row>
    <row r="38" spans="2:32">
      <c r="M38" s="2" t="s">
        <v>450</v>
      </c>
      <c r="N38" s="2"/>
      <c r="R38" s="14"/>
      <c r="S38" s="163"/>
      <c r="T38" s="14"/>
      <c r="U38" s="15"/>
      <c r="V38" s="15"/>
      <c r="W38" s="15"/>
    </row>
    <row r="39" spans="2:32">
      <c r="N39" s="795" t="s">
        <v>301</v>
      </c>
      <c r="O39" s="795"/>
      <c r="P39" s="795"/>
      <c r="Q39" s="795"/>
      <c r="R39" s="795"/>
      <c r="S39" s="795"/>
      <c r="T39" s="795"/>
      <c r="U39" s="795"/>
      <c r="V39" s="795"/>
      <c r="W39" s="795"/>
      <c r="X39" s="795"/>
      <c r="Y39" s="795"/>
    </row>
    <row r="40" spans="2:32">
      <c r="M40" s="347" t="s">
        <v>289</v>
      </c>
      <c r="N40" s="348">
        <v>83</v>
      </c>
      <c r="O40" s="348">
        <v>77</v>
      </c>
      <c r="P40" s="348">
        <v>71</v>
      </c>
      <c r="Q40" s="348">
        <v>65</v>
      </c>
      <c r="R40" s="348">
        <v>59</v>
      </c>
      <c r="S40" s="348">
        <v>53</v>
      </c>
      <c r="T40" s="348">
        <v>47</v>
      </c>
      <c r="U40" s="348">
        <v>41</v>
      </c>
      <c r="V40" s="348">
        <v>35</v>
      </c>
      <c r="W40" s="348">
        <v>29</v>
      </c>
      <c r="X40" s="348">
        <v>23</v>
      </c>
      <c r="Y40" s="349">
        <v>17</v>
      </c>
      <c r="Z40" s="499" t="s">
        <v>467</v>
      </c>
    </row>
    <row r="41" spans="2:32">
      <c r="M41" s="350">
        <v>0</v>
      </c>
      <c r="N41" s="332">
        <v>-900</v>
      </c>
      <c r="O41" s="332">
        <f>N41</f>
        <v>-900</v>
      </c>
      <c r="P41" s="332">
        <f t="shared" ref="P41:Y41" si="14">O41</f>
        <v>-900</v>
      </c>
      <c r="Q41" s="332">
        <f t="shared" si="14"/>
        <v>-900</v>
      </c>
      <c r="R41" s="332">
        <f t="shared" si="14"/>
        <v>-900</v>
      </c>
      <c r="S41" s="332">
        <f>R41</f>
        <v>-900</v>
      </c>
      <c r="T41" s="332">
        <f t="shared" si="14"/>
        <v>-900</v>
      </c>
      <c r="U41" s="332">
        <f t="shared" si="14"/>
        <v>-900</v>
      </c>
      <c r="V41" s="332">
        <f t="shared" si="14"/>
        <v>-900</v>
      </c>
      <c r="W41" s="332">
        <f t="shared" si="14"/>
        <v>-900</v>
      </c>
      <c r="X41" s="332">
        <f t="shared" si="14"/>
        <v>-900</v>
      </c>
      <c r="Y41" s="333">
        <f t="shared" si="14"/>
        <v>-900</v>
      </c>
      <c r="Z41" s="351">
        <f>1/(1+0.04)^M41</f>
        <v>1</v>
      </c>
      <c r="AA41" s="15"/>
    </row>
    <row r="42" spans="2:32">
      <c r="M42" s="350">
        <v>0</v>
      </c>
      <c r="N42" s="332">
        <v>-1900</v>
      </c>
      <c r="O42" s="332">
        <f t="shared" ref="O42:Y55" si="15">N42</f>
        <v>-1900</v>
      </c>
      <c r="P42" s="332">
        <f t="shared" si="15"/>
        <v>-1900</v>
      </c>
      <c r="Q42" s="332">
        <f t="shared" si="15"/>
        <v>-1900</v>
      </c>
      <c r="R42" s="332">
        <f t="shared" si="15"/>
        <v>-1900</v>
      </c>
      <c r="S42" s="332">
        <f t="shared" si="15"/>
        <v>-1900</v>
      </c>
      <c r="T42" s="332">
        <f t="shared" si="15"/>
        <v>-1900</v>
      </c>
      <c r="U42" s="332">
        <f t="shared" si="15"/>
        <v>-1900</v>
      </c>
      <c r="V42" s="332">
        <f t="shared" si="15"/>
        <v>-1900</v>
      </c>
      <c r="W42" s="332">
        <f t="shared" si="15"/>
        <v>-1900</v>
      </c>
      <c r="X42" s="332">
        <f t="shared" si="15"/>
        <v>-1900</v>
      </c>
      <c r="Y42" s="333">
        <f t="shared" si="15"/>
        <v>-1900</v>
      </c>
      <c r="Z42" s="352">
        <f t="shared" ref="Z42:Z57" si="16">1/(1+0.04)^M42</f>
        <v>1</v>
      </c>
      <c r="AA42" s="15"/>
    </row>
    <row r="43" spans="2:32">
      <c r="M43" s="350">
        <v>1</v>
      </c>
      <c r="N43" s="332">
        <v>-450</v>
      </c>
      <c r="O43" s="332">
        <f t="shared" si="15"/>
        <v>-450</v>
      </c>
      <c r="P43" s="332">
        <f t="shared" si="15"/>
        <v>-450</v>
      </c>
      <c r="Q43" s="332">
        <f t="shared" si="15"/>
        <v>-450</v>
      </c>
      <c r="R43" s="332">
        <f t="shared" si="15"/>
        <v>-450</v>
      </c>
      <c r="S43" s="332">
        <f t="shared" si="15"/>
        <v>-450</v>
      </c>
      <c r="T43" s="332">
        <f t="shared" si="15"/>
        <v>-450</v>
      </c>
      <c r="U43" s="332">
        <f t="shared" si="15"/>
        <v>-450</v>
      </c>
      <c r="V43" s="332">
        <f t="shared" si="15"/>
        <v>-450</v>
      </c>
      <c r="W43" s="332">
        <f t="shared" si="15"/>
        <v>-450</v>
      </c>
      <c r="X43" s="332">
        <f t="shared" si="15"/>
        <v>-450</v>
      </c>
      <c r="Y43" s="333">
        <f t="shared" si="15"/>
        <v>-450</v>
      </c>
      <c r="Z43" s="352">
        <f t="shared" si="16"/>
        <v>0.96153846153846145</v>
      </c>
      <c r="AA43" s="15"/>
    </row>
    <row r="44" spans="2:32">
      <c r="M44" s="350">
        <v>2</v>
      </c>
      <c r="N44" s="332">
        <v>-450</v>
      </c>
      <c r="O44" s="332">
        <f t="shared" si="15"/>
        <v>-450</v>
      </c>
      <c r="P44" s="332">
        <f t="shared" si="15"/>
        <v>-450</v>
      </c>
      <c r="Q44" s="332">
        <f t="shared" si="15"/>
        <v>-450</v>
      </c>
      <c r="R44" s="332">
        <f t="shared" si="15"/>
        <v>-450</v>
      </c>
      <c r="S44" s="332">
        <f t="shared" si="15"/>
        <v>-450</v>
      </c>
      <c r="T44" s="332">
        <f t="shared" si="15"/>
        <v>-450</v>
      </c>
      <c r="U44" s="332">
        <f t="shared" si="15"/>
        <v>-450</v>
      </c>
      <c r="V44" s="332">
        <f t="shared" si="15"/>
        <v>-450</v>
      </c>
      <c r="W44" s="332">
        <f t="shared" si="15"/>
        <v>-450</v>
      </c>
      <c r="X44" s="332">
        <f t="shared" si="15"/>
        <v>-450</v>
      </c>
      <c r="Y44" s="333">
        <f t="shared" si="15"/>
        <v>-450</v>
      </c>
      <c r="Z44" s="352">
        <f t="shared" si="16"/>
        <v>0.92455621301775137</v>
      </c>
      <c r="AA44" s="15"/>
    </row>
    <row r="45" spans="2:32">
      <c r="M45" s="350">
        <v>17</v>
      </c>
      <c r="N45" s="332">
        <v>-1900</v>
      </c>
      <c r="O45" s="332">
        <f t="shared" si="15"/>
        <v>-1900</v>
      </c>
      <c r="P45" s="332">
        <f t="shared" si="15"/>
        <v>-1900</v>
      </c>
      <c r="Q45" s="332">
        <f t="shared" si="15"/>
        <v>-1900</v>
      </c>
      <c r="R45" s="332">
        <f t="shared" si="15"/>
        <v>-1900</v>
      </c>
      <c r="S45" s="332">
        <f t="shared" si="15"/>
        <v>-1900</v>
      </c>
      <c r="T45" s="332">
        <f t="shared" si="15"/>
        <v>-1900</v>
      </c>
      <c r="U45" s="332">
        <f t="shared" si="15"/>
        <v>-1900</v>
      </c>
      <c r="V45" s="332">
        <f t="shared" si="15"/>
        <v>-1900</v>
      </c>
      <c r="W45" s="332">
        <f t="shared" si="15"/>
        <v>-1900</v>
      </c>
      <c r="X45" s="332">
        <f t="shared" si="15"/>
        <v>-1900</v>
      </c>
      <c r="Y45" s="333">
        <v>0</v>
      </c>
      <c r="Z45" s="352">
        <f t="shared" si="16"/>
        <v>0.51337324585177024</v>
      </c>
      <c r="AA45" s="15"/>
    </row>
    <row r="46" spans="2:32">
      <c r="M46" s="350">
        <f t="shared" ref="M46:N57" si="17">M8</f>
        <v>17</v>
      </c>
      <c r="N46" s="336">
        <f>N8</f>
        <v>879.62237170528579</v>
      </c>
      <c r="O46" s="336">
        <f t="shared" si="15"/>
        <v>879.62237170528579</v>
      </c>
      <c r="P46" s="336">
        <f t="shared" si="15"/>
        <v>879.62237170528579</v>
      </c>
      <c r="Q46" s="336">
        <f t="shared" si="15"/>
        <v>879.62237170528579</v>
      </c>
      <c r="R46" s="336">
        <f t="shared" si="15"/>
        <v>879.62237170528579</v>
      </c>
      <c r="S46" s="336">
        <f>R46</f>
        <v>879.62237170528579</v>
      </c>
      <c r="T46" s="336">
        <f t="shared" si="15"/>
        <v>879.62237170528579</v>
      </c>
      <c r="U46" s="336">
        <f t="shared" si="15"/>
        <v>879.62237170528579</v>
      </c>
      <c r="V46" s="336">
        <f t="shared" si="15"/>
        <v>879.62237170528579</v>
      </c>
      <c r="W46" s="336">
        <f t="shared" si="15"/>
        <v>879.62237170528579</v>
      </c>
      <c r="X46" s="336">
        <f t="shared" si="15"/>
        <v>879.62237170528579</v>
      </c>
      <c r="Y46" s="337">
        <f>N25</f>
        <v>2983.9891468756095</v>
      </c>
      <c r="Z46" s="352">
        <f t="shared" si="16"/>
        <v>0.51337324585177024</v>
      </c>
      <c r="AA46" s="15"/>
    </row>
    <row r="47" spans="2:32">
      <c r="M47" s="350">
        <f t="shared" si="17"/>
        <v>23</v>
      </c>
      <c r="N47" s="336">
        <f t="shared" si="17"/>
        <v>1536.7200430275916</v>
      </c>
      <c r="O47" s="336">
        <f t="shared" si="15"/>
        <v>1536.7200430275916</v>
      </c>
      <c r="P47" s="336">
        <f t="shared" si="15"/>
        <v>1536.7200430275916</v>
      </c>
      <c r="Q47" s="336">
        <f t="shared" si="15"/>
        <v>1536.7200430275916</v>
      </c>
      <c r="R47" s="336">
        <f t="shared" si="15"/>
        <v>1536.7200430275916</v>
      </c>
      <c r="S47" s="336">
        <f t="shared" si="15"/>
        <v>1536.7200430275916</v>
      </c>
      <c r="T47" s="336">
        <f t="shared" si="15"/>
        <v>1536.7200430275916</v>
      </c>
      <c r="U47" s="336">
        <f t="shared" si="15"/>
        <v>1536.7200430275916</v>
      </c>
      <c r="V47" s="336">
        <f t="shared" si="15"/>
        <v>1536.7200430275916</v>
      </c>
      <c r="W47" s="336">
        <f t="shared" si="15"/>
        <v>1536.7200430275916</v>
      </c>
      <c r="X47" s="336">
        <f>N26</f>
        <v>7934.2573310335247</v>
      </c>
      <c r="Y47" s="337"/>
      <c r="Z47" s="352">
        <f t="shared" si="16"/>
        <v>0.40572633331788732</v>
      </c>
      <c r="AA47" s="15"/>
    </row>
    <row r="48" spans="2:32">
      <c r="M48" s="350">
        <f t="shared" si="17"/>
        <v>29</v>
      </c>
      <c r="N48" s="336">
        <f t="shared" si="17"/>
        <v>2560.9916842903508</v>
      </c>
      <c r="O48" s="336">
        <f t="shared" si="15"/>
        <v>2560.9916842903508</v>
      </c>
      <c r="P48" s="336">
        <f t="shared" si="15"/>
        <v>2560.9916842903508</v>
      </c>
      <c r="Q48" s="336">
        <f t="shared" si="15"/>
        <v>2560.9916842903508</v>
      </c>
      <c r="R48" s="336">
        <f t="shared" si="15"/>
        <v>2560.9916842903508</v>
      </c>
      <c r="S48" s="336">
        <f t="shared" si="15"/>
        <v>2560.9916842903508</v>
      </c>
      <c r="T48" s="336">
        <f t="shared" si="15"/>
        <v>2560.9916842903508</v>
      </c>
      <c r="U48" s="336">
        <f t="shared" si="15"/>
        <v>2560.9916842903508</v>
      </c>
      <c r="V48" s="336">
        <f t="shared" si="15"/>
        <v>2560.9916842903508</v>
      </c>
      <c r="W48" s="336">
        <f>N27</f>
        <v>15272.206327832799</v>
      </c>
      <c r="X48" s="336"/>
      <c r="Y48" s="337"/>
      <c r="Z48" s="352">
        <f t="shared" si="16"/>
        <v>0.32065141469235708</v>
      </c>
      <c r="AA48" s="15"/>
    </row>
    <row r="49" spans="13:27">
      <c r="M49" s="350">
        <f t="shared" si="17"/>
        <v>35</v>
      </c>
      <c r="N49" s="336">
        <f t="shared" si="17"/>
        <v>4005.8715643940177</v>
      </c>
      <c r="O49" s="336">
        <f t="shared" si="15"/>
        <v>4005.8715643940177</v>
      </c>
      <c r="P49" s="336">
        <f t="shared" si="15"/>
        <v>4005.8715643940177</v>
      </c>
      <c r="Q49" s="336">
        <f t="shared" si="15"/>
        <v>4005.8715643940177</v>
      </c>
      <c r="R49" s="336">
        <f t="shared" si="15"/>
        <v>4005.8715643940177</v>
      </c>
      <c r="S49" s="336">
        <f t="shared" si="15"/>
        <v>4005.8715643940177</v>
      </c>
      <c r="T49" s="336">
        <f t="shared" si="15"/>
        <v>4005.8715643940177</v>
      </c>
      <c r="U49" s="336">
        <f t="shared" si="15"/>
        <v>4005.8715643940177</v>
      </c>
      <c r="V49" s="336">
        <f>N28</f>
        <v>23069.125819075558</v>
      </c>
      <c r="W49" s="336"/>
      <c r="X49" s="336"/>
      <c r="Y49" s="337"/>
      <c r="Z49" s="352">
        <f t="shared" si="16"/>
        <v>0.25341547072729048</v>
      </c>
      <c r="AA49" s="15"/>
    </row>
    <row r="50" spans="13:27">
      <c r="M50" s="350">
        <f t="shared" si="17"/>
        <v>41</v>
      </c>
      <c r="N50" s="336">
        <f t="shared" si="17"/>
        <v>5174.3085733400058</v>
      </c>
      <c r="O50" s="336">
        <f t="shared" si="15"/>
        <v>5174.3085733400058</v>
      </c>
      <c r="P50" s="336">
        <f t="shared" si="15"/>
        <v>5174.3085733400058</v>
      </c>
      <c r="Q50" s="336">
        <f t="shared" si="15"/>
        <v>5174.3085733400058</v>
      </c>
      <c r="R50" s="336">
        <f t="shared" si="15"/>
        <v>5174.3085733400058</v>
      </c>
      <c r="S50" s="336">
        <f t="shared" si="15"/>
        <v>5174.3085733400058</v>
      </c>
      <c r="T50" s="336">
        <f t="shared" si="15"/>
        <v>5174.3085733400058</v>
      </c>
      <c r="U50" s="336">
        <f>N29</f>
        <v>29596.653342506557</v>
      </c>
      <c r="V50" s="336"/>
      <c r="W50" s="336"/>
      <c r="X50" s="336"/>
      <c r="Y50" s="337"/>
      <c r="Z50" s="352">
        <f t="shared" si="16"/>
        <v>0.20027792756052021</v>
      </c>
      <c r="AA50" s="15"/>
    </row>
    <row r="51" spans="13:27">
      <c r="M51" s="350">
        <f t="shared" si="17"/>
        <v>47</v>
      </c>
      <c r="N51" s="336">
        <f t="shared" si="17"/>
        <v>5540.2928775541404</v>
      </c>
      <c r="O51" s="336">
        <f t="shared" si="15"/>
        <v>5540.2928775541404</v>
      </c>
      <c r="P51" s="336">
        <f t="shared" si="15"/>
        <v>5540.2928775541404</v>
      </c>
      <c r="Q51" s="336">
        <f t="shared" si="15"/>
        <v>5540.2928775541404</v>
      </c>
      <c r="R51" s="336">
        <f t="shared" si="15"/>
        <v>5540.2928775541404</v>
      </c>
      <c r="S51" s="336">
        <f t="shared" si="15"/>
        <v>5540.2928775541404</v>
      </c>
      <c r="T51" s="336">
        <f>N30</f>
        <v>34832.752863001733</v>
      </c>
      <c r="U51" s="336"/>
      <c r="V51" s="336"/>
      <c r="W51" s="336"/>
      <c r="X51" s="336"/>
      <c r="Y51" s="337"/>
      <c r="Z51" s="352">
        <f t="shared" si="16"/>
        <v>0.15828255533420904</v>
      </c>
      <c r="AA51" s="15"/>
    </row>
    <row r="52" spans="13:27">
      <c r="M52" s="350">
        <f t="shared" si="17"/>
        <v>53</v>
      </c>
      <c r="N52" s="336">
        <f>N14</f>
        <v>5689.2845978174155</v>
      </c>
      <c r="O52" s="336">
        <f t="shared" si="15"/>
        <v>5689.2845978174155</v>
      </c>
      <c r="P52" s="336">
        <f t="shared" si="15"/>
        <v>5689.2845978174155</v>
      </c>
      <c r="Q52" s="336">
        <f t="shared" si="15"/>
        <v>5689.2845978174155</v>
      </c>
      <c r="R52" s="336">
        <f t="shared" si="15"/>
        <v>5689.2845978174155</v>
      </c>
      <c r="S52" s="336">
        <f>N31</f>
        <v>39348.673058287015</v>
      </c>
      <c r="T52" s="336"/>
      <c r="U52" s="336"/>
      <c r="V52" s="336"/>
      <c r="W52" s="336"/>
      <c r="X52" s="336"/>
      <c r="Y52" s="337"/>
      <c r="Z52" s="352">
        <f t="shared" si="16"/>
        <v>0.12509300265031092</v>
      </c>
      <c r="AA52" s="15"/>
    </row>
    <row r="53" spans="13:27">
      <c r="M53" s="350">
        <f t="shared" si="17"/>
        <v>59</v>
      </c>
      <c r="N53" s="336">
        <f t="shared" si="17"/>
        <v>5761.7289911603038</v>
      </c>
      <c r="O53" s="336">
        <f t="shared" si="15"/>
        <v>5761.7289911603038</v>
      </c>
      <c r="P53" s="336">
        <f t="shared" si="15"/>
        <v>5761.7289911603038</v>
      </c>
      <c r="Q53" s="336">
        <f t="shared" si="15"/>
        <v>5761.7289911603038</v>
      </c>
      <c r="R53" s="336">
        <f>N32</f>
        <v>43435.429162939792</v>
      </c>
      <c r="S53" s="336"/>
      <c r="T53" s="336"/>
      <c r="U53" s="336"/>
      <c r="V53" s="336"/>
      <c r="W53" s="336"/>
      <c r="X53" s="336"/>
      <c r="Y53" s="337"/>
      <c r="Z53" s="352">
        <f t="shared" si="16"/>
        <v>9.8862817061740368E-2</v>
      </c>
      <c r="AA53" s="15"/>
    </row>
    <row r="54" spans="13:27">
      <c r="M54" s="350">
        <f t="shared" si="17"/>
        <v>65</v>
      </c>
      <c r="N54" s="336">
        <f t="shared" si="17"/>
        <v>5770.8453828041866</v>
      </c>
      <c r="O54" s="336">
        <f t="shared" si="15"/>
        <v>5770.8453828041866</v>
      </c>
      <c r="P54" s="336">
        <f t="shared" si="15"/>
        <v>5770.8453828041866</v>
      </c>
      <c r="Q54" s="336">
        <f>N33</f>
        <v>47148.595557317691</v>
      </c>
      <c r="R54" s="336"/>
      <c r="S54" s="336"/>
      <c r="T54" s="336"/>
      <c r="U54" s="336"/>
      <c r="V54" s="336"/>
      <c r="W54" s="336"/>
      <c r="X54" s="336"/>
      <c r="Y54" s="337"/>
      <c r="Z54" s="352">
        <f t="shared" si="16"/>
        <v>7.8132720378495488E-2</v>
      </c>
      <c r="AA54" s="15"/>
    </row>
    <row r="55" spans="13:27">
      <c r="M55" s="350">
        <f t="shared" si="17"/>
        <v>71</v>
      </c>
      <c r="N55" s="336">
        <f t="shared" si="17"/>
        <v>5662.2534919114651</v>
      </c>
      <c r="O55" s="336">
        <f t="shared" si="15"/>
        <v>5662.2534919114651</v>
      </c>
      <c r="P55" s="336">
        <f>N34</f>
        <v>50506.910257969357</v>
      </c>
      <c r="Q55" s="336"/>
      <c r="R55" s="336"/>
      <c r="S55" s="336"/>
      <c r="T55" s="336"/>
      <c r="U55" s="336"/>
      <c r="V55" s="336"/>
      <c r="W55" s="336"/>
      <c r="X55" s="336"/>
      <c r="Y55" s="337"/>
      <c r="Z55" s="352">
        <f t="shared" si="16"/>
        <v>6.1749423849936765E-2</v>
      </c>
      <c r="AA55" s="15"/>
    </row>
    <row r="56" spans="13:27">
      <c r="M56" s="350">
        <f t="shared" si="17"/>
        <v>77</v>
      </c>
      <c r="N56" s="336">
        <f t="shared" si="17"/>
        <v>5608.6468315008278</v>
      </c>
      <c r="O56" s="336">
        <f>N35</f>
        <v>53638.729049684902</v>
      </c>
      <c r="P56" s="336">
        <v>0</v>
      </c>
      <c r="Q56" s="336"/>
      <c r="R56" s="336"/>
      <c r="S56" s="336"/>
      <c r="T56" s="336"/>
      <c r="U56" s="336"/>
      <c r="V56" s="336"/>
      <c r="W56" s="336"/>
      <c r="X56" s="336"/>
      <c r="Y56" s="337"/>
      <c r="Z56" s="352">
        <f t="shared" si="16"/>
        <v>4.8801466624072518E-2</v>
      </c>
      <c r="AA56" s="15"/>
    </row>
    <row r="57" spans="13:27">
      <c r="M57" s="353">
        <f t="shared" si="17"/>
        <v>83</v>
      </c>
      <c r="N57" s="338">
        <f t="shared" si="17"/>
        <v>56673.058976645865</v>
      </c>
      <c r="O57" s="338">
        <v>0</v>
      </c>
      <c r="P57" s="338">
        <v>0</v>
      </c>
      <c r="Q57" s="338"/>
      <c r="R57" s="338"/>
      <c r="S57" s="338"/>
      <c r="T57" s="338"/>
      <c r="U57" s="338"/>
      <c r="V57" s="338"/>
      <c r="W57" s="338"/>
      <c r="X57" s="338"/>
      <c r="Y57" s="339"/>
      <c r="Z57" s="354">
        <f t="shared" si="16"/>
        <v>3.8568507949939407E-2</v>
      </c>
    </row>
    <row r="58" spans="13:27">
      <c r="M58" s="355" t="s">
        <v>276</v>
      </c>
      <c r="N58" s="336">
        <f>SUMPRODUCT(N41:N57,$Z41:$Z57)</f>
        <v>4741.8262649320022</v>
      </c>
      <c r="O58" s="336">
        <f t="shared" ref="O58:X58" si="18">SUMPRODUCT(O41:O57*$Z41:$Z57)</f>
        <v>4899.9693935660207</v>
      </c>
      <c r="P58" s="336">
        <f t="shared" si="18"/>
        <v>5051.4524661423966</v>
      </c>
      <c r="Q58" s="336">
        <f t="shared" si="18"/>
        <v>5165.6360415488343</v>
      </c>
      <c r="R58" s="336">
        <f t="shared" si="18"/>
        <v>5206.3161367516495</v>
      </c>
      <c r="S58" s="336">
        <f t="shared" si="18"/>
        <v>5122.7212193111191</v>
      </c>
      <c r="T58" s="336">
        <f t="shared" si="18"/>
        <v>4836.9629746663159</v>
      </c>
      <c r="U58" s="336">
        <f t="shared" si="18"/>
        <v>4214.8024387226033</v>
      </c>
      <c r="V58" s="336">
        <f t="shared" si="18"/>
        <v>3118.169595102393</v>
      </c>
      <c r="W58" s="336">
        <f t="shared" si="18"/>
        <v>1347.9651743043605</v>
      </c>
      <c r="X58" s="336">
        <f t="shared" si="18"/>
        <v>-953.44004406168551</v>
      </c>
      <c r="Y58" s="336">
        <f>SUMPRODUCT(Y41:Y57*$Z41:$Z57)</f>
        <v>-2116.8424096323097</v>
      </c>
      <c r="Z58" s="296"/>
      <c r="AA58" s="222"/>
    </row>
    <row r="59" spans="13:27">
      <c r="M59" s="355" t="s">
        <v>278</v>
      </c>
      <c r="N59" s="356">
        <f t="shared" ref="N59:Y59" si="19">N58*(1+0.04)^N40/((1+0.04)^N40-1)</f>
        <v>4932.0479973263673</v>
      </c>
      <c r="O59" s="356">
        <f t="shared" si="19"/>
        <v>5151.3634868373811</v>
      </c>
      <c r="P59" s="356">
        <f t="shared" si="19"/>
        <v>5383.9055307272956</v>
      </c>
      <c r="Q59" s="356">
        <f t="shared" si="19"/>
        <v>5603.4487346917385</v>
      </c>
      <c r="R59" s="356">
        <f t="shared" si="19"/>
        <v>5777.4956303277459</v>
      </c>
      <c r="S59" s="357">
        <f t="shared" si="19"/>
        <v>5855.1608740461734</v>
      </c>
      <c r="T59" s="356">
        <f t="shared" si="19"/>
        <v>5746.5400121139955</v>
      </c>
      <c r="U59" s="356">
        <f t="shared" si="19"/>
        <v>5270.3340122471927</v>
      </c>
      <c r="V59" s="356">
        <f t="shared" si="19"/>
        <v>4176.5794398927328</v>
      </c>
      <c r="W59" s="356">
        <f t="shared" si="19"/>
        <v>1984.2025190851534</v>
      </c>
      <c r="X59" s="356">
        <f t="shared" si="19"/>
        <v>-1604.3787526121314</v>
      </c>
      <c r="Y59" s="356">
        <f t="shared" si="19"/>
        <v>-4350.0329391825944</v>
      </c>
      <c r="Z59" s="296"/>
      <c r="AA59" s="222"/>
    </row>
    <row r="60" spans="13:27">
      <c r="M60" s="159"/>
      <c r="N60" s="157"/>
      <c r="O60" s="157"/>
      <c r="P60" s="157"/>
      <c r="Q60" s="157"/>
      <c r="R60" s="157"/>
      <c r="S60" s="157"/>
      <c r="T60" s="157"/>
      <c r="U60" s="157"/>
      <c r="V60" s="157"/>
      <c r="W60" s="157"/>
      <c r="X60" s="157"/>
      <c r="Y60" s="157"/>
      <c r="AA60" s="222"/>
    </row>
    <row r="61" spans="13:27">
      <c r="M61" s="159"/>
      <c r="N61" s="157"/>
      <c r="O61" s="157"/>
      <c r="P61" s="157"/>
      <c r="Q61" s="157"/>
      <c r="R61" s="157"/>
      <c r="S61" s="157"/>
      <c r="T61" s="157"/>
      <c r="U61" s="157"/>
      <c r="V61" s="157"/>
      <c r="W61" s="157"/>
      <c r="X61" s="157"/>
      <c r="Y61" s="157"/>
      <c r="AA61" s="222"/>
    </row>
    <row r="62" spans="13:27">
      <c r="M62" s="358" t="s">
        <v>451</v>
      </c>
      <c r="N62" s="296"/>
      <c r="O62" s="296"/>
      <c r="P62" s="296"/>
      <c r="Q62" s="296"/>
      <c r="R62" s="296"/>
      <c r="S62" s="296"/>
      <c r="T62" s="296"/>
      <c r="U62" s="296"/>
      <c r="V62" s="296"/>
      <c r="W62" s="296"/>
      <c r="X62" s="296"/>
      <c r="Y62" s="296"/>
      <c r="Z62" s="296"/>
    </row>
    <row r="63" spans="13:27">
      <c r="M63" s="359" t="s">
        <v>302</v>
      </c>
      <c r="N63" s="360"/>
      <c r="O63" s="361"/>
      <c r="P63" s="361"/>
      <c r="Q63" s="361"/>
      <c r="R63" s="361"/>
      <c r="S63" s="361"/>
      <c r="T63" s="361"/>
      <c r="U63" s="361"/>
      <c r="V63" s="361"/>
      <c r="W63" s="361"/>
      <c r="X63" s="361"/>
      <c r="Y63" s="362"/>
      <c r="Z63" s="296"/>
    </row>
    <row r="64" spans="13:27">
      <c r="M64" s="350">
        <f t="shared" ref="M64:M80" si="20">M41</f>
        <v>0</v>
      </c>
      <c r="N64" s="336">
        <f t="shared" ref="N64:Y64" si="21">N41*1.04^(N$40-$M64)</f>
        <v>-23335.100262840577</v>
      </c>
      <c r="O64" s="336">
        <f t="shared" si="21"/>
        <v>-18442.068697092251</v>
      </c>
      <c r="P64" s="336">
        <f t="shared" si="21"/>
        <v>-14575.034775825226</v>
      </c>
      <c r="Q64" s="336">
        <f t="shared" si="21"/>
        <v>-11518.861696356696</v>
      </c>
      <c r="R64" s="336">
        <f t="shared" si="21"/>
        <v>-9103.5237185072838</v>
      </c>
      <c r="S64" s="336">
        <f t="shared" si="21"/>
        <v>-7194.6470300652181</v>
      </c>
      <c r="T64" s="336">
        <f t="shared" si="21"/>
        <v>-5686.0340553617925</v>
      </c>
      <c r="U64" s="336">
        <f t="shared" si="21"/>
        <v>-4493.7553077487128</v>
      </c>
      <c r="V64" s="336">
        <f t="shared" si="21"/>
        <v>-3551.4800947907493</v>
      </c>
      <c r="W64" s="336">
        <f t="shared" si="21"/>
        <v>-2806.7863067546041</v>
      </c>
      <c r="X64" s="336">
        <f t="shared" si="21"/>
        <v>-2218.2439888486319</v>
      </c>
      <c r="Y64" s="337">
        <f t="shared" si="21"/>
        <v>-1753.1104460006534</v>
      </c>
      <c r="Z64" s="296"/>
    </row>
    <row r="65" spans="13:26">
      <c r="M65" s="350">
        <f t="shared" si="20"/>
        <v>0</v>
      </c>
      <c r="N65" s="336">
        <f t="shared" ref="N65:Y65" si="22">N42*1.04^(N$40-$M65)</f>
        <v>-49262.989443774553</v>
      </c>
      <c r="O65" s="336">
        <f t="shared" si="22"/>
        <v>-38933.256138305864</v>
      </c>
      <c r="P65" s="336">
        <f t="shared" si="22"/>
        <v>-30769.517860075477</v>
      </c>
      <c r="Q65" s="336">
        <f t="shared" si="22"/>
        <v>-24317.596914530804</v>
      </c>
      <c r="R65" s="336">
        <f t="shared" si="22"/>
        <v>-19218.550072404265</v>
      </c>
      <c r="S65" s="336">
        <f t="shared" si="22"/>
        <v>-15188.699285693237</v>
      </c>
      <c r="T65" s="336">
        <f t="shared" si="22"/>
        <v>-12003.849672430451</v>
      </c>
      <c r="U65" s="336">
        <f t="shared" si="22"/>
        <v>-9486.8167608028398</v>
      </c>
      <c r="V65" s="336">
        <f t="shared" si="22"/>
        <v>-7497.5690890026926</v>
      </c>
      <c r="W65" s="336">
        <f t="shared" si="22"/>
        <v>-5925.4377587041645</v>
      </c>
      <c r="X65" s="336">
        <f t="shared" si="22"/>
        <v>-4682.9595320137787</v>
      </c>
      <c r="Y65" s="337">
        <f t="shared" si="22"/>
        <v>-3701.010941556935</v>
      </c>
      <c r="Z65" s="296"/>
    </row>
    <row r="66" spans="13:26">
      <c r="M66" s="350">
        <f t="shared" si="20"/>
        <v>1</v>
      </c>
      <c r="N66" s="336">
        <f t="shared" ref="N66:Y66" si="23">N43*1.04^(N$40-$M66)</f>
        <v>-11218.798203288739</v>
      </c>
      <c r="O66" s="336">
        <f t="shared" si="23"/>
        <v>-8866.3791812943509</v>
      </c>
      <c r="P66" s="336">
        <f t="shared" si="23"/>
        <v>-7007.2282576082825</v>
      </c>
      <c r="Q66" s="336">
        <f t="shared" si="23"/>
        <v>-5537.9142770945655</v>
      </c>
      <c r="R66" s="336">
        <f t="shared" si="23"/>
        <v>-4376.6940954361935</v>
      </c>
      <c r="S66" s="336">
        <f t="shared" si="23"/>
        <v>-3458.9649183005849</v>
      </c>
      <c r="T66" s="336">
        <f t="shared" si="23"/>
        <v>-2733.670218923939</v>
      </c>
      <c r="U66" s="336">
        <f t="shared" si="23"/>
        <v>-2160.4592825714967</v>
      </c>
      <c r="V66" s="336">
        <f t="shared" si="23"/>
        <v>-1707.4423532647832</v>
      </c>
      <c r="W66" s="336">
        <f t="shared" si="23"/>
        <v>-1349.4164936320212</v>
      </c>
      <c r="X66" s="336">
        <f t="shared" si="23"/>
        <v>-1066.463456177227</v>
      </c>
      <c r="Y66" s="337">
        <f t="shared" si="23"/>
        <v>-842.84156057723715</v>
      </c>
      <c r="Z66" s="296"/>
    </row>
    <row r="67" spans="13:26">
      <c r="M67" s="350">
        <f t="shared" si="20"/>
        <v>2</v>
      </c>
      <c r="N67" s="336">
        <f t="shared" ref="N67:Y67" si="24">N44*1.04^(N$40-$M67)</f>
        <v>-10787.305964700709</v>
      </c>
      <c r="O67" s="336">
        <f t="shared" si="24"/>
        <v>-8525.364597398413</v>
      </c>
      <c r="P67" s="336">
        <f t="shared" si="24"/>
        <v>-6737.7194784695021</v>
      </c>
      <c r="Q67" s="336">
        <f t="shared" si="24"/>
        <v>-5324.9175741293893</v>
      </c>
      <c r="R67" s="336">
        <f t="shared" si="24"/>
        <v>-4208.3597071501872</v>
      </c>
      <c r="S67" s="336">
        <f t="shared" si="24"/>
        <v>-3325.9278060582546</v>
      </c>
      <c r="T67" s="336">
        <f t="shared" si="24"/>
        <v>-2628.5290566576336</v>
      </c>
      <c r="U67" s="336">
        <f t="shared" si="24"/>
        <v>-2077.3646947802845</v>
      </c>
      <c r="V67" s="336">
        <f t="shared" si="24"/>
        <v>-1641.7714935238298</v>
      </c>
      <c r="W67" s="336">
        <f t="shared" si="24"/>
        <v>-1297.5158592615585</v>
      </c>
      <c r="X67" s="336">
        <f t="shared" si="24"/>
        <v>-1025.4456309396414</v>
      </c>
      <c r="Y67" s="337">
        <f t="shared" si="24"/>
        <v>-810.4245774781125</v>
      </c>
      <c r="Z67" s="296"/>
    </row>
    <row r="68" spans="13:26">
      <c r="M68" s="350">
        <f t="shared" si="20"/>
        <v>17</v>
      </c>
      <c r="N68" s="336">
        <f t="shared" ref="N68:Y68" si="25">N45*1.04^(N$40-$M68)</f>
        <v>-25290.300791112037</v>
      </c>
      <c r="O68" s="336">
        <f t="shared" si="25"/>
        <v>-19987.292075300444</v>
      </c>
      <c r="P68" s="336">
        <f t="shared" si="25"/>
        <v>-15796.247257120967</v>
      </c>
      <c r="Q68" s="336">
        <f t="shared" si="25"/>
        <v>-12484.003659327671</v>
      </c>
      <c r="R68" s="336">
        <f t="shared" si="25"/>
        <v>-9866.2894312349508</v>
      </c>
      <c r="S68" s="336">
        <f t="shared" si="25"/>
        <v>-7797.4718525627995</v>
      </c>
      <c r="T68" s="336">
        <f t="shared" si="25"/>
        <v>-6162.4552690523306</v>
      </c>
      <c r="U68" s="336">
        <f t="shared" si="25"/>
        <v>-4870.2779132943306</v>
      </c>
      <c r="V68" s="336">
        <f t="shared" si="25"/>
        <v>-3849.0513792192128</v>
      </c>
      <c r="W68" s="336">
        <f t="shared" si="25"/>
        <v>-3041.9612152785953</v>
      </c>
      <c r="X68" s="336">
        <f t="shared" si="25"/>
        <v>-2404.1061351424005</v>
      </c>
      <c r="Y68" s="337">
        <f t="shared" si="25"/>
        <v>0</v>
      </c>
      <c r="Z68" s="296"/>
    </row>
    <row r="69" spans="13:26">
      <c r="M69" s="350">
        <f t="shared" si="20"/>
        <v>17</v>
      </c>
      <c r="N69" s="336">
        <f t="shared" ref="N69:Y69" si="26">N46*1.04^(N$40-$M69)</f>
        <v>11708.375980535808</v>
      </c>
      <c r="O69" s="336">
        <f t="shared" si="26"/>
        <v>9253.2996101273893</v>
      </c>
      <c r="P69" s="336">
        <f t="shared" si="26"/>
        <v>7313.017092816769</v>
      </c>
      <c r="Q69" s="336">
        <f t="shared" si="26"/>
        <v>5779.5836353659333</v>
      </c>
      <c r="R69" s="336">
        <f t="shared" si="26"/>
        <v>4567.6888997019387</v>
      </c>
      <c r="S69" s="336">
        <f t="shared" si="26"/>
        <v>3609.9108864507889</v>
      </c>
      <c r="T69" s="336">
        <f t="shared" si="26"/>
        <v>2852.9650101534453</v>
      </c>
      <c r="U69" s="336">
        <f t="shared" si="26"/>
        <v>2254.7396889241204</v>
      </c>
      <c r="V69" s="336">
        <f t="shared" si="26"/>
        <v>1781.9535278970027</v>
      </c>
      <c r="W69" s="336">
        <f t="shared" si="26"/>
        <v>1408.3037572730798</v>
      </c>
      <c r="X69" s="336">
        <f t="shared" si="26"/>
        <v>1113.0029160132563</v>
      </c>
      <c r="Y69" s="337">
        <f t="shared" si="26"/>
        <v>2983.9891468756095</v>
      </c>
      <c r="Z69" s="296"/>
    </row>
    <row r="70" spans="13:26">
      <c r="M70" s="350">
        <f t="shared" si="20"/>
        <v>23</v>
      </c>
      <c r="N70" s="336">
        <f t="shared" ref="N70:Y70" si="27">N47*1.04^(N$40-$M70)</f>
        <v>16165.722283137229</v>
      </c>
      <c r="O70" s="336">
        <f t="shared" si="27"/>
        <v>12776.005139282846</v>
      </c>
      <c r="P70" s="336">
        <f t="shared" si="27"/>
        <v>10097.062442378226</v>
      </c>
      <c r="Q70" s="336">
        <f t="shared" si="27"/>
        <v>7979.855115415814</v>
      </c>
      <c r="R70" s="336">
        <f t="shared" si="27"/>
        <v>6306.5954109351269</v>
      </c>
      <c r="S70" s="336">
        <f t="shared" si="27"/>
        <v>4984.1939611651078</v>
      </c>
      <c r="T70" s="336">
        <f t="shared" si="27"/>
        <v>3939.0808865652589</v>
      </c>
      <c r="U70" s="336">
        <f t="shared" si="27"/>
        <v>3113.1128426785049</v>
      </c>
      <c r="V70" s="336">
        <f t="shared" si="27"/>
        <v>2460.3382998058883</v>
      </c>
      <c r="W70" s="336">
        <f t="shared" si="27"/>
        <v>1944.4410965468037</v>
      </c>
      <c r="X70" s="336">
        <f t="shared" si="27"/>
        <v>7934.2573310335247</v>
      </c>
      <c r="Y70" s="337">
        <f t="shared" si="27"/>
        <v>0</v>
      </c>
      <c r="Z70" s="296"/>
    </row>
    <row r="71" spans="13:26">
      <c r="M71" s="350">
        <f t="shared" si="20"/>
        <v>29</v>
      </c>
      <c r="N71" s="336">
        <f t="shared" ref="N71:Y71" si="28">N48*1.04^(N$40-$M71)</f>
        <v>21291.609404463714</v>
      </c>
      <c r="O71" s="336">
        <f t="shared" si="28"/>
        <v>16827.06818852025</v>
      </c>
      <c r="P71" s="336">
        <f t="shared" si="28"/>
        <v>13298.676414839203</v>
      </c>
      <c r="Q71" s="336">
        <f t="shared" si="28"/>
        <v>10510.137143632319</v>
      </c>
      <c r="R71" s="336">
        <f t="shared" si="28"/>
        <v>8306.3140520285651</v>
      </c>
      <c r="S71" s="336">
        <f t="shared" si="28"/>
        <v>6564.6006505946007</v>
      </c>
      <c r="T71" s="336">
        <f t="shared" si="28"/>
        <v>5188.0992497824791</v>
      </c>
      <c r="U71" s="336">
        <f t="shared" si="28"/>
        <v>4100.2301980327647</v>
      </c>
      <c r="V71" s="336">
        <f t="shared" si="28"/>
        <v>3240.4714843426855</v>
      </c>
      <c r="W71" s="336">
        <f t="shared" si="28"/>
        <v>15272.206327832799</v>
      </c>
      <c r="X71" s="336">
        <f t="shared" si="28"/>
        <v>0</v>
      </c>
      <c r="Y71" s="337">
        <f t="shared" si="28"/>
        <v>0</v>
      </c>
      <c r="Z71" s="296"/>
    </row>
    <row r="72" spans="13:26">
      <c r="M72" s="350">
        <f t="shared" si="20"/>
        <v>35</v>
      </c>
      <c r="N72" s="336">
        <f t="shared" ref="N72:Y72" si="29">N49*1.04^(N$40-$M72)</f>
        <v>26320.692246679781</v>
      </c>
      <c r="O72" s="336">
        <f t="shared" si="29"/>
        <v>20801.625409823853</v>
      </c>
      <c r="P72" s="336">
        <f t="shared" si="29"/>
        <v>16439.826720181085</v>
      </c>
      <c r="Q72" s="336">
        <f t="shared" si="29"/>
        <v>12992.633857445693</v>
      </c>
      <c r="R72" s="336">
        <f t="shared" si="29"/>
        <v>10268.267265032626</v>
      </c>
      <c r="S72" s="336">
        <f t="shared" si="29"/>
        <v>8115.1607736346414</v>
      </c>
      <c r="T72" s="336">
        <f t="shared" si="29"/>
        <v>6413.5294380389441</v>
      </c>
      <c r="U72" s="336">
        <f t="shared" si="29"/>
        <v>5068.7054760800756</v>
      </c>
      <c r="V72" s="336">
        <f t="shared" si="29"/>
        <v>23069.125819075558</v>
      </c>
      <c r="W72" s="336">
        <f t="shared" si="29"/>
        <v>0</v>
      </c>
      <c r="X72" s="336">
        <f t="shared" si="29"/>
        <v>0</v>
      </c>
      <c r="Y72" s="337">
        <f t="shared" si="29"/>
        <v>0</v>
      </c>
      <c r="Z72" s="296"/>
    </row>
    <row r="73" spans="13:26">
      <c r="M73" s="350">
        <f t="shared" si="20"/>
        <v>41</v>
      </c>
      <c r="N73" s="336">
        <f t="shared" ref="N73:Y73" si="30">N50*1.04^(N$40-$M73)</f>
        <v>26869.066311101527</v>
      </c>
      <c r="O73" s="336">
        <f t="shared" si="30"/>
        <v>21235.013398470037</v>
      </c>
      <c r="P73" s="336">
        <f t="shared" si="30"/>
        <v>16782.33954288514</v>
      </c>
      <c r="Q73" s="336">
        <f t="shared" si="30"/>
        <v>13263.326716477541</v>
      </c>
      <c r="R73" s="336">
        <f t="shared" si="30"/>
        <v>10482.199763536919</v>
      </c>
      <c r="S73" s="336">
        <f t="shared" si="30"/>
        <v>8284.2347347283248</v>
      </c>
      <c r="T73" s="336">
        <f t="shared" si="30"/>
        <v>6547.1510454140162</v>
      </c>
      <c r="U73" s="336">
        <f t="shared" si="30"/>
        <v>29596.653342506557</v>
      </c>
      <c r="V73" s="336">
        <f t="shared" si="30"/>
        <v>0</v>
      </c>
      <c r="W73" s="336">
        <f t="shared" si="30"/>
        <v>0</v>
      </c>
      <c r="X73" s="336">
        <f t="shared" si="30"/>
        <v>0</v>
      </c>
      <c r="Y73" s="337">
        <f t="shared" si="30"/>
        <v>0</v>
      </c>
      <c r="Z73" s="296"/>
    </row>
    <row r="74" spans="13:26">
      <c r="M74" s="350">
        <f t="shared" si="20"/>
        <v>47</v>
      </c>
      <c r="N74" s="336">
        <f t="shared" ref="N74:Y74" si="31">N51*1.04^(N$40-$M74)</f>
        <v>22736.988298780299</v>
      </c>
      <c r="O74" s="336">
        <f t="shared" si="31"/>
        <v>17969.372123882426</v>
      </c>
      <c r="P74" s="336">
        <f t="shared" si="31"/>
        <v>14201.455807754641</v>
      </c>
      <c r="Q74" s="336">
        <f t="shared" si="31"/>
        <v>11223.616811383234</v>
      </c>
      <c r="R74" s="336">
        <f t="shared" si="31"/>
        <v>8870.1873972652302</v>
      </c>
      <c r="S74" s="336">
        <f t="shared" si="31"/>
        <v>7010.2379460071861</v>
      </c>
      <c r="T74" s="336">
        <f t="shared" si="31"/>
        <v>34832.752863001733</v>
      </c>
      <c r="U74" s="336">
        <f t="shared" si="31"/>
        <v>0</v>
      </c>
      <c r="V74" s="336">
        <f t="shared" si="31"/>
        <v>0</v>
      </c>
      <c r="W74" s="336">
        <f t="shared" si="31"/>
        <v>0</v>
      </c>
      <c r="X74" s="336">
        <f t="shared" si="31"/>
        <v>0</v>
      </c>
      <c r="Y74" s="337">
        <f t="shared" si="31"/>
        <v>0</v>
      </c>
      <c r="Z74" s="296"/>
    </row>
    <row r="75" spans="13:26">
      <c r="M75" s="350">
        <f t="shared" si="20"/>
        <v>53</v>
      </c>
      <c r="N75" s="336">
        <f t="shared" ref="N75:Y75" si="32">N52*1.04^(N$40-$M75)</f>
        <v>18452.611498399052</v>
      </c>
      <c r="O75" s="336">
        <f t="shared" si="32"/>
        <v>14583.366904839881</v>
      </c>
      <c r="P75" s="336">
        <f t="shared" si="32"/>
        <v>11525.446698947235</v>
      </c>
      <c r="Q75" s="336">
        <f t="shared" si="32"/>
        <v>9108.7279417065583</v>
      </c>
      <c r="R75" s="336">
        <f t="shared" si="32"/>
        <v>7198.7600032547443</v>
      </c>
      <c r="S75" s="336">
        <f t="shared" si="32"/>
        <v>39348.673058287015</v>
      </c>
      <c r="T75" s="336">
        <f t="shared" si="32"/>
        <v>0</v>
      </c>
      <c r="U75" s="336">
        <f t="shared" si="32"/>
        <v>0</v>
      </c>
      <c r="V75" s="336">
        <f t="shared" si="32"/>
        <v>0</v>
      </c>
      <c r="W75" s="336">
        <f t="shared" si="32"/>
        <v>0</v>
      </c>
      <c r="X75" s="336">
        <f t="shared" si="32"/>
        <v>0</v>
      </c>
      <c r="Y75" s="337">
        <f t="shared" si="32"/>
        <v>0</v>
      </c>
      <c r="Z75" s="296"/>
    </row>
    <row r="76" spans="13:26">
      <c r="M76" s="350">
        <f t="shared" si="20"/>
        <v>59</v>
      </c>
      <c r="N76" s="336">
        <f t="shared" ref="N76:Y76" si="33">N53*1.04^(N$40-$M76)</f>
        <v>14769.063920018763</v>
      </c>
      <c r="O76" s="336">
        <f t="shared" si="33"/>
        <v>11672.205747427837</v>
      </c>
      <c r="P76" s="336">
        <f t="shared" si="33"/>
        <v>9224.7137495031129</v>
      </c>
      <c r="Q76" s="336">
        <f t="shared" si="33"/>
        <v>7290.425271934906</v>
      </c>
      <c r="R76" s="336">
        <f t="shared" si="33"/>
        <v>43435.429162939792</v>
      </c>
      <c r="S76" s="336">
        <f t="shared" si="33"/>
        <v>0</v>
      </c>
      <c r="T76" s="336">
        <f t="shared" si="33"/>
        <v>0</v>
      </c>
      <c r="U76" s="336">
        <f t="shared" si="33"/>
        <v>0</v>
      </c>
      <c r="V76" s="336">
        <f t="shared" si="33"/>
        <v>0</v>
      </c>
      <c r="W76" s="336">
        <f t="shared" si="33"/>
        <v>0</v>
      </c>
      <c r="X76" s="336">
        <f t="shared" si="33"/>
        <v>0</v>
      </c>
      <c r="Y76" s="337">
        <f t="shared" si="33"/>
        <v>0</v>
      </c>
      <c r="Z76" s="296"/>
    </row>
    <row r="77" spans="13:26">
      <c r="M77" s="350">
        <f t="shared" si="20"/>
        <v>65</v>
      </c>
      <c r="N77" s="336">
        <f t="shared" ref="N77:Y77" si="34">N54*1.04^(N$40-$M77)</f>
        <v>11690.673884180675</v>
      </c>
      <c r="O77" s="336">
        <f t="shared" si="34"/>
        <v>9239.3093862420501</v>
      </c>
      <c r="P77" s="336">
        <f t="shared" si="34"/>
        <v>7301.9604156619689</v>
      </c>
      <c r="Q77" s="336">
        <f t="shared" si="34"/>
        <v>47148.595557317691</v>
      </c>
      <c r="R77" s="336">
        <f t="shared" si="34"/>
        <v>0</v>
      </c>
      <c r="S77" s="336">
        <f t="shared" si="34"/>
        <v>0</v>
      </c>
      <c r="T77" s="336">
        <f t="shared" si="34"/>
        <v>0</v>
      </c>
      <c r="U77" s="336">
        <f t="shared" si="34"/>
        <v>0</v>
      </c>
      <c r="V77" s="336">
        <f t="shared" si="34"/>
        <v>0</v>
      </c>
      <c r="W77" s="336">
        <f t="shared" si="34"/>
        <v>0</v>
      </c>
      <c r="X77" s="336">
        <f t="shared" si="34"/>
        <v>0</v>
      </c>
      <c r="Y77" s="337">
        <f t="shared" si="34"/>
        <v>0</v>
      </c>
      <c r="Z77" s="296"/>
    </row>
    <row r="78" spans="13:26">
      <c r="M78" s="350">
        <f t="shared" si="20"/>
        <v>71</v>
      </c>
      <c r="N78" s="336">
        <f t="shared" ref="N78:Y78" si="35">N55*1.04^(N$40-$M78)</f>
        <v>9065.4502702476166</v>
      </c>
      <c r="O78" s="336">
        <f t="shared" si="35"/>
        <v>7164.5570308609658</v>
      </c>
      <c r="P78" s="336">
        <f t="shared" si="35"/>
        <v>50506.910257969357</v>
      </c>
      <c r="Q78" s="336">
        <f t="shared" si="35"/>
        <v>0</v>
      </c>
      <c r="R78" s="336">
        <f t="shared" si="35"/>
        <v>0</v>
      </c>
      <c r="S78" s="336">
        <f t="shared" si="35"/>
        <v>0</v>
      </c>
      <c r="T78" s="336">
        <f t="shared" si="35"/>
        <v>0</v>
      </c>
      <c r="U78" s="336">
        <f t="shared" si="35"/>
        <v>0</v>
      </c>
      <c r="V78" s="336">
        <f t="shared" si="35"/>
        <v>0</v>
      </c>
      <c r="W78" s="336">
        <f t="shared" si="35"/>
        <v>0</v>
      </c>
      <c r="X78" s="336">
        <f t="shared" si="35"/>
        <v>0</v>
      </c>
      <c r="Y78" s="337">
        <f t="shared" si="35"/>
        <v>0</v>
      </c>
      <c r="Z78" s="296"/>
    </row>
    <row r="79" spans="13:26">
      <c r="M79" s="350">
        <f t="shared" si="20"/>
        <v>77</v>
      </c>
      <c r="N79" s="336">
        <f t="shared" ref="N79:Y79" si="36">N56*1.04^(N$40-$M79)</f>
        <v>7096.72750392533</v>
      </c>
      <c r="O79" s="336">
        <f t="shared" si="36"/>
        <v>53638.729049684902</v>
      </c>
      <c r="P79" s="336">
        <f t="shared" si="36"/>
        <v>0</v>
      </c>
      <c r="Q79" s="336">
        <f t="shared" si="36"/>
        <v>0</v>
      </c>
      <c r="R79" s="336">
        <f t="shared" si="36"/>
        <v>0</v>
      </c>
      <c r="S79" s="336">
        <f t="shared" si="36"/>
        <v>0</v>
      </c>
      <c r="T79" s="336">
        <f t="shared" si="36"/>
        <v>0</v>
      </c>
      <c r="U79" s="336">
        <f t="shared" si="36"/>
        <v>0</v>
      </c>
      <c r="V79" s="336">
        <f t="shared" si="36"/>
        <v>0</v>
      </c>
      <c r="W79" s="336">
        <f t="shared" si="36"/>
        <v>0</v>
      </c>
      <c r="X79" s="336">
        <f t="shared" si="36"/>
        <v>0</v>
      </c>
      <c r="Y79" s="337">
        <f t="shared" si="36"/>
        <v>0</v>
      </c>
      <c r="Z79" s="296"/>
    </row>
    <row r="80" spans="13:26">
      <c r="M80" s="350">
        <f t="shared" si="20"/>
        <v>83</v>
      </c>
      <c r="N80" s="336">
        <f t="shared" ref="N80:Y80" si="37">N57*1.04^(N$40-$M80)</f>
        <v>56673.058976645865</v>
      </c>
      <c r="O80" s="336">
        <f t="shared" si="37"/>
        <v>0</v>
      </c>
      <c r="P80" s="336">
        <f t="shared" si="37"/>
        <v>0</v>
      </c>
      <c r="Q80" s="336">
        <f t="shared" si="37"/>
        <v>0</v>
      </c>
      <c r="R80" s="336">
        <f t="shared" si="37"/>
        <v>0</v>
      </c>
      <c r="S80" s="336">
        <f t="shared" si="37"/>
        <v>0</v>
      </c>
      <c r="T80" s="336">
        <f t="shared" si="37"/>
        <v>0</v>
      </c>
      <c r="U80" s="336">
        <f t="shared" si="37"/>
        <v>0</v>
      </c>
      <c r="V80" s="336">
        <f t="shared" si="37"/>
        <v>0</v>
      </c>
      <c r="W80" s="336">
        <f t="shared" si="37"/>
        <v>0</v>
      </c>
      <c r="X80" s="336">
        <f t="shared" si="37"/>
        <v>0</v>
      </c>
      <c r="Y80" s="337">
        <f t="shared" si="37"/>
        <v>0</v>
      </c>
      <c r="Z80" s="296"/>
    </row>
    <row r="81" spans="6:26">
      <c r="M81" s="353"/>
      <c r="N81" s="334"/>
      <c r="O81" s="334"/>
      <c r="P81" s="334"/>
      <c r="Q81" s="334"/>
      <c r="R81" s="334"/>
      <c r="S81" s="334"/>
      <c r="T81" s="334"/>
      <c r="U81" s="334"/>
      <c r="V81" s="334"/>
      <c r="W81" s="334"/>
      <c r="X81" s="334"/>
      <c r="Y81" s="335"/>
      <c r="Z81" s="296"/>
    </row>
    <row r="82" spans="6:26">
      <c r="M82" s="347" t="s">
        <v>278</v>
      </c>
      <c r="N82" s="363">
        <f t="shared" ref="N82:Y82" si="38">SUM(N64:N80)/(1.04^N40-1)</f>
        <v>4932.0479973263691</v>
      </c>
      <c r="O82" s="363">
        <f>SUM(O64:O80)/(1.04^O40-1)</f>
        <v>5151.3634868373811</v>
      </c>
      <c r="P82" s="363">
        <f t="shared" si="38"/>
        <v>5383.9055307272974</v>
      </c>
      <c r="Q82" s="363">
        <f t="shared" si="38"/>
        <v>5603.4487346917385</v>
      </c>
      <c r="R82" s="363">
        <f t="shared" si="38"/>
        <v>5777.4956303277477</v>
      </c>
      <c r="S82" s="363">
        <f t="shared" si="38"/>
        <v>5855.1608740461734</v>
      </c>
      <c r="T82" s="363">
        <f t="shared" si="38"/>
        <v>5746.5400121139965</v>
      </c>
      <c r="U82" s="363">
        <f t="shared" si="38"/>
        <v>5270.3340122471927</v>
      </c>
      <c r="V82" s="363">
        <f t="shared" si="38"/>
        <v>4176.5794398927337</v>
      </c>
      <c r="W82" s="363">
        <f t="shared" si="38"/>
        <v>1984.2025190851534</v>
      </c>
      <c r="X82" s="363">
        <f t="shared" si="38"/>
        <v>-1604.3787526121323</v>
      </c>
      <c r="Y82" s="364">
        <f t="shared" si="38"/>
        <v>-4350.0329391825935</v>
      </c>
      <c r="Z82" s="296"/>
    </row>
    <row r="83" spans="6:26">
      <c r="M83" s="296"/>
      <c r="N83" s="296"/>
      <c r="O83" s="296"/>
      <c r="P83" s="296"/>
      <c r="Q83" s="296"/>
      <c r="R83" s="296"/>
      <c r="S83" s="297" t="s">
        <v>303</v>
      </c>
      <c r="T83" s="296"/>
      <c r="U83" s="296"/>
      <c r="V83" s="296"/>
      <c r="W83" s="296"/>
      <c r="X83" s="296"/>
      <c r="Y83" s="296"/>
      <c r="Z83" s="296"/>
    </row>
    <row r="84" spans="6:26">
      <c r="M84" s="2"/>
    </row>
    <row r="85" spans="6:26">
      <c r="Q85" s="2"/>
      <c r="R85" s="166"/>
      <c r="S85" s="166"/>
      <c r="T85" s="166"/>
      <c r="U85" s="166"/>
      <c r="V85" s="166"/>
      <c r="W85" s="166"/>
      <c r="X85" s="166"/>
      <c r="Y85" s="166"/>
    </row>
    <row r="86" spans="6:26">
      <c r="F86" s="300"/>
      <c r="G86" s="300"/>
      <c r="H86" s="300"/>
      <c r="I86" s="300"/>
      <c r="J86" s="301" t="s">
        <v>342</v>
      </c>
      <c r="K86" s="300"/>
      <c r="L86" s="300"/>
      <c r="M86" s="381" t="s">
        <v>344</v>
      </c>
      <c r="N86" s="381"/>
      <c r="O86" s="381"/>
      <c r="P86" s="367">
        <v>53</v>
      </c>
      <c r="Q86" s="382"/>
      <c r="R86" s="382"/>
      <c r="S86" s="157"/>
      <c r="T86" s="157"/>
      <c r="U86" s="383" t="s">
        <v>551</v>
      </c>
      <c r="V86" s="383"/>
      <c r="W86" s="383"/>
      <c r="X86" s="383"/>
      <c r="Y86" s="383"/>
      <c r="Z86" s="381"/>
    </row>
    <row r="87" spans="6:26">
      <c r="M87" s="383" t="s">
        <v>340</v>
      </c>
      <c r="N87" s="384"/>
      <c r="O87" s="384"/>
      <c r="P87" s="384"/>
      <c r="Q87" s="298"/>
      <c r="R87" s="369">
        <v>1.1143128631088886</v>
      </c>
      <c r="S87" s="167"/>
      <c r="T87" s="167"/>
      <c r="U87" s="383" t="s">
        <v>552</v>
      </c>
      <c r="V87" s="383"/>
      <c r="W87" s="383"/>
      <c r="X87" s="383"/>
      <c r="Y87" s="383"/>
      <c r="Z87" s="381"/>
    </row>
    <row r="88" spans="6:26">
      <c r="M88" s="385" t="s">
        <v>289</v>
      </c>
      <c r="N88" s="386" t="s">
        <v>290</v>
      </c>
      <c r="O88" s="387" t="s">
        <v>305</v>
      </c>
      <c r="P88" s="388" t="s">
        <v>284</v>
      </c>
      <c r="Q88" s="384"/>
      <c r="R88" s="384"/>
      <c r="S88" s="167"/>
      <c r="T88" s="167"/>
      <c r="U88" s="383" t="s">
        <v>556</v>
      </c>
      <c r="V88" s="383"/>
      <c r="W88" s="383"/>
      <c r="X88" s="383"/>
      <c r="Y88" s="383"/>
      <c r="Z88" s="381"/>
    </row>
    <row r="89" spans="6:26">
      <c r="M89" s="389">
        <f t="shared" ref="M89:M95" si="39">M41</f>
        <v>0</v>
      </c>
      <c r="N89" s="390">
        <f t="shared" ref="N89:N95" si="40">S41</f>
        <v>-900</v>
      </c>
      <c r="O89" s="391">
        <f>N89</f>
        <v>-900</v>
      </c>
      <c r="P89" s="392">
        <f t="shared" ref="P89:P101" si="41">O89*1.04^($P$86-$M89)</f>
        <v>-7194.6470300652181</v>
      </c>
      <c r="Q89" s="384"/>
      <c r="R89" s="384"/>
      <c r="S89" s="167"/>
      <c r="T89" s="167"/>
      <c r="U89" s="383" t="s">
        <v>553</v>
      </c>
      <c r="V89" s="383"/>
      <c r="W89" s="383"/>
      <c r="X89" s="383"/>
      <c r="Y89" s="383"/>
      <c r="Z89" s="381"/>
    </row>
    <row r="90" spans="6:26">
      <c r="M90" s="389">
        <f t="shared" si="39"/>
        <v>0</v>
      </c>
      <c r="N90" s="390">
        <f t="shared" si="40"/>
        <v>-1900</v>
      </c>
      <c r="O90" s="391">
        <f t="shared" ref="O90:O96" si="42">N90</f>
        <v>-1900</v>
      </c>
      <c r="P90" s="392">
        <f t="shared" si="41"/>
        <v>-15188.699285693237</v>
      </c>
      <c r="Q90" s="384"/>
      <c r="R90" s="384"/>
      <c r="S90" s="167"/>
      <c r="T90" s="167"/>
      <c r="U90" s="384"/>
      <c r="V90" s="384"/>
      <c r="W90" s="384"/>
      <c r="X90" s="384"/>
      <c r="Y90" s="384"/>
      <c r="Z90" s="298"/>
    </row>
    <row r="91" spans="6:26">
      <c r="M91" s="389">
        <f t="shared" si="39"/>
        <v>1</v>
      </c>
      <c r="N91" s="390">
        <f t="shared" si="40"/>
        <v>-450</v>
      </c>
      <c r="O91" s="391">
        <f t="shared" si="42"/>
        <v>-450</v>
      </c>
      <c r="P91" s="392">
        <f t="shared" si="41"/>
        <v>-3458.9649183005849</v>
      </c>
      <c r="Q91" s="384"/>
      <c r="R91" s="384"/>
      <c r="S91" s="167"/>
      <c r="T91" s="167"/>
      <c r="U91" s="384" t="s">
        <v>557</v>
      </c>
      <c r="V91" s="384"/>
      <c r="W91" s="384"/>
      <c r="X91" s="298"/>
      <c r="Y91" s="384">
        <f>1500*(1+0.04)^(53-25)</f>
        <v>4498.0549787734044</v>
      </c>
      <c r="Z91" s="298"/>
    </row>
    <row r="92" spans="6:26">
      <c r="M92" s="389">
        <f t="shared" si="39"/>
        <v>2</v>
      </c>
      <c r="N92" s="390">
        <f t="shared" si="40"/>
        <v>-450</v>
      </c>
      <c r="O92" s="391">
        <f t="shared" si="42"/>
        <v>-450</v>
      </c>
      <c r="P92" s="392">
        <f t="shared" si="41"/>
        <v>-3325.9278060582546</v>
      </c>
      <c r="Q92" s="384"/>
      <c r="R92" s="384"/>
      <c r="S92" s="167"/>
      <c r="T92" s="167"/>
      <c r="U92" s="384" t="s">
        <v>554</v>
      </c>
      <c r="V92" s="384"/>
      <c r="W92" s="384"/>
      <c r="X92" s="298"/>
      <c r="Y92" s="384">
        <f>N31</f>
        <v>39348.673058287015</v>
      </c>
      <c r="Z92" s="298"/>
    </row>
    <row r="93" spans="6:26">
      <c r="M93" s="389">
        <f t="shared" si="39"/>
        <v>17</v>
      </c>
      <c r="N93" s="390">
        <f t="shared" si="40"/>
        <v>-1900</v>
      </c>
      <c r="O93" s="391">
        <f t="shared" si="42"/>
        <v>-1900</v>
      </c>
      <c r="P93" s="392">
        <f t="shared" si="41"/>
        <v>-7797.4718525627995</v>
      </c>
      <c r="Q93" s="384"/>
      <c r="R93" s="384"/>
      <c r="S93" s="167"/>
      <c r="T93" s="167"/>
      <c r="U93" s="384" t="s">
        <v>555</v>
      </c>
      <c r="V93" s="384"/>
      <c r="W93" s="384"/>
      <c r="X93" s="298"/>
      <c r="Y93" s="778">
        <f>(Y92+Y91)/Y92</f>
        <v>1.11431274879614</v>
      </c>
      <c r="Z93" s="298"/>
    </row>
    <row r="94" spans="6:26">
      <c r="M94" s="389">
        <f t="shared" si="39"/>
        <v>17</v>
      </c>
      <c r="N94" s="390">
        <f t="shared" si="40"/>
        <v>879.62237170528579</v>
      </c>
      <c r="O94" s="391">
        <f t="shared" si="42"/>
        <v>879.62237170528579</v>
      </c>
      <c r="P94" s="392">
        <f t="shared" si="41"/>
        <v>3609.9108864507889</v>
      </c>
      <c r="Q94" s="384"/>
      <c r="R94" s="384"/>
      <c r="S94" s="167"/>
      <c r="T94" s="167"/>
      <c r="U94" s="384"/>
      <c r="V94" s="384"/>
      <c r="W94" s="384"/>
      <c r="X94" s="384"/>
      <c r="Y94" s="384"/>
      <c r="Z94" s="298"/>
    </row>
    <row r="95" spans="6:26">
      <c r="M95" s="389">
        <f t="shared" si="39"/>
        <v>23</v>
      </c>
      <c r="N95" s="390">
        <f t="shared" si="40"/>
        <v>1536.7200430275916</v>
      </c>
      <c r="O95" s="391">
        <f t="shared" si="42"/>
        <v>1536.7200430275916</v>
      </c>
      <c r="P95" s="392">
        <f t="shared" si="41"/>
        <v>4984.1939611651078</v>
      </c>
      <c r="Q95" s="384"/>
      <c r="R95" s="384"/>
      <c r="S95" s="167"/>
      <c r="T95" s="167"/>
      <c r="U95" s="167"/>
      <c r="V95" s="167"/>
      <c r="W95" s="167"/>
      <c r="X95" s="167"/>
      <c r="Y95" s="167"/>
    </row>
    <row r="96" spans="6:26">
      <c r="M96" s="389">
        <v>25</v>
      </c>
      <c r="N96" s="393">
        <v>-1500</v>
      </c>
      <c r="O96" s="391">
        <f t="shared" si="42"/>
        <v>-1500</v>
      </c>
      <c r="P96" s="392">
        <f t="shared" si="41"/>
        <v>-4498.0549787734044</v>
      </c>
      <c r="Q96" s="384"/>
      <c r="R96" s="384"/>
      <c r="S96" s="167"/>
      <c r="T96" s="167"/>
      <c r="U96" s="167"/>
      <c r="V96" s="167"/>
      <c r="W96" s="167"/>
      <c r="X96" s="167"/>
      <c r="Y96" s="167"/>
    </row>
    <row r="97" spans="6:25">
      <c r="M97" s="389">
        <f>M48</f>
        <v>29</v>
      </c>
      <c r="N97" s="390">
        <f>S48</f>
        <v>2560.9916842903508</v>
      </c>
      <c r="O97" s="391">
        <f>N97</f>
        <v>2560.9916842903508</v>
      </c>
      <c r="P97" s="392">
        <f t="shared" si="41"/>
        <v>6564.6006505946007</v>
      </c>
      <c r="Q97" s="384"/>
      <c r="R97" s="384"/>
      <c r="S97" s="167"/>
      <c r="T97" s="167"/>
      <c r="U97" s="167"/>
      <c r="V97" s="167"/>
      <c r="W97" s="167"/>
      <c r="X97" s="167"/>
      <c r="Y97" s="167"/>
    </row>
    <row r="98" spans="6:25">
      <c r="M98" s="389">
        <f>M49</f>
        <v>35</v>
      </c>
      <c r="N98" s="390">
        <f>S49</f>
        <v>4005.8715643940177</v>
      </c>
      <c r="O98" s="391">
        <f>N98</f>
        <v>4005.8715643940177</v>
      </c>
      <c r="P98" s="392">
        <f t="shared" si="41"/>
        <v>8115.1607736346414</v>
      </c>
      <c r="Q98" s="384"/>
      <c r="R98" s="384"/>
      <c r="S98" s="167"/>
      <c r="T98" s="167"/>
      <c r="U98" s="167"/>
      <c r="V98" s="167"/>
      <c r="W98" s="167"/>
      <c r="X98" s="167"/>
      <c r="Y98" s="167"/>
    </row>
    <row r="99" spans="6:25">
      <c r="M99" s="389">
        <f>M50</f>
        <v>41</v>
      </c>
      <c r="N99" s="390">
        <f>S50</f>
        <v>5174.3085733400058</v>
      </c>
      <c r="O99" s="391">
        <f>N99</f>
        <v>5174.3085733400058</v>
      </c>
      <c r="P99" s="392">
        <f t="shared" si="41"/>
        <v>8284.2347347283248</v>
      </c>
      <c r="Q99" s="384"/>
      <c r="R99" s="384"/>
      <c r="S99" s="167"/>
      <c r="T99" s="167"/>
      <c r="U99" s="167"/>
      <c r="V99" s="167"/>
      <c r="W99" s="167"/>
      <c r="X99" s="167"/>
      <c r="Y99" s="167"/>
    </row>
    <row r="100" spans="6:25">
      <c r="M100" s="389">
        <f>M51</f>
        <v>47</v>
      </c>
      <c r="N100" s="390">
        <f>S51</f>
        <v>5540.2928775541404</v>
      </c>
      <c r="O100" s="391">
        <f>N100</f>
        <v>5540.2928775541404</v>
      </c>
      <c r="P100" s="392">
        <f t="shared" si="41"/>
        <v>7010.2379460071861</v>
      </c>
      <c r="Q100" s="384"/>
      <c r="R100" s="384"/>
      <c r="S100" s="167"/>
      <c r="T100" s="167"/>
      <c r="U100" s="167"/>
      <c r="V100" s="167"/>
      <c r="W100" s="167"/>
      <c r="X100" s="167"/>
      <c r="Y100" s="167"/>
    </row>
    <row r="101" spans="6:25">
      <c r="M101" s="394">
        <f>M52</f>
        <v>53</v>
      </c>
      <c r="N101" s="395">
        <f>S52</f>
        <v>39348.673058287015</v>
      </c>
      <c r="O101" s="397">
        <f>N101*R87</f>
        <v>43846.732535115392</v>
      </c>
      <c r="P101" s="396">
        <f t="shared" si="41"/>
        <v>43846.732535115392</v>
      </c>
      <c r="Q101" s="384"/>
      <c r="R101" s="384"/>
      <c r="S101" s="167"/>
      <c r="T101" s="167"/>
      <c r="U101" s="167"/>
      <c r="V101" s="167"/>
      <c r="W101" s="167"/>
      <c r="X101" s="167"/>
      <c r="Y101" s="167"/>
    </row>
    <row r="102" spans="6:25">
      <c r="M102" s="384"/>
      <c r="N102" s="384"/>
      <c r="O102" s="381" t="s">
        <v>278</v>
      </c>
      <c r="P102" s="382">
        <f>SUM(P89:P101)/(1.04^P86-1)</f>
        <v>5855.161517171905</v>
      </c>
      <c r="Q102" s="368">
        <f>P102-S82</f>
        <v>6.431257315853145E-4</v>
      </c>
      <c r="R102" s="384"/>
      <c r="S102" s="167"/>
      <c r="T102" s="167"/>
      <c r="U102" s="167"/>
      <c r="V102" s="167"/>
      <c r="W102" s="167"/>
      <c r="X102" s="167"/>
      <c r="Y102" s="167"/>
    </row>
    <row r="104" spans="6:25">
      <c r="M104" s="2"/>
      <c r="N104" s="157"/>
      <c r="O104" s="157"/>
      <c r="P104" s="157"/>
      <c r="Q104" s="157"/>
      <c r="R104" s="157"/>
      <c r="S104" s="157"/>
      <c r="T104" s="157"/>
      <c r="U104" s="157"/>
      <c r="V104" s="157"/>
      <c r="W104" s="157"/>
      <c r="X104" s="157"/>
      <c r="Y104" s="157"/>
    </row>
    <row r="105" spans="6:25">
      <c r="F105" s="400"/>
      <c r="G105" s="400"/>
      <c r="H105" s="400"/>
      <c r="I105" s="400"/>
      <c r="J105" s="401" t="s">
        <v>341</v>
      </c>
      <c r="K105" s="400"/>
      <c r="L105" s="400"/>
      <c r="M105" s="405" t="s">
        <v>343</v>
      </c>
      <c r="N105" s="406"/>
      <c r="O105" s="407"/>
      <c r="Q105" s="157"/>
    </row>
    <row r="106" spans="6:25">
      <c r="M106" s="408" t="s">
        <v>289</v>
      </c>
      <c r="N106" s="409" t="s">
        <v>290</v>
      </c>
      <c r="O106" s="375" t="s">
        <v>306</v>
      </c>
    </row>
    <row r="107" spans="6:25">
      <c r="M107" s="410">
        <v>0</v>
      </c>
      <c r="N107" s="402">
        <v>-4000</v>
      </c>
      <c r="O107" s="411">
        <f>N107/(1+$N$122)^M107</f>
        <v>-4000</v>
      </c>
    </row>
    <row r="108" spans="6:25">
      <c r="M108" s="410">
        <f t="shared" ref="M108:M119" si="43">M41</f>
        <v>0</v>
      </c>
      <c r="N108" s="378">
        <f t="shared" ref="N108:N119" si="44">S41</f>
        <v>-900</v>
      </c>
      <c r="O108" s="411">
        <f t="shared" ref="O108:O120" si="45">N108/(1+$N$122)^M108</f>
        <v>-900</v>
      </c>
    </row>
    <row r="109" spans="6:25">
      <c r="M109" s="410">
        <f t="shared" si="43"/>
        <v>0</v>
      </c>
      <c r="N109" s="378">
        <f t="shared" si="44"/>
        <v>-1900</v>
      </c>
      <c r="O109" s="411">
        <f t="shared" si="45"/>
        <v>-1900</v>
      </c>
    </row>
    <row r="110" spans="6:25">
      <c r="M110" s="410">
        <f t="shared" si="43"/>
        <v>1</v>
      </c>
      <c r="N110" s="378">
        <f t="shared" si="44"/>
        <v>-450</v>
      </c>
      <c r="O110" s="411">
        <f t="shared" si="45"/>
        <v>-426.70206713445856</v>
      </c>
    </row>
    <row r="111" spans="6:25">
      <c r="M111" s="410">
        <f t="shared" si="43"/>
        <v>2</v>
      </c>
      <c r="N111" s="378">
        <f t="shared" si="44"/>
        <v>-450</v>
      </c>
      <c r="O111" s="411">
        <f t="shared" si="45"/>
        <v>-404.61034243737771</v>
      </c>
    </row>
    <row r="112" spans="6:25">
      <c r="M112" s="410">
        <f t="shared" si="43"/>
        <v>17</v>
      </c>
      <c r="N112" s="378">
        <f t="shared" si="44"/>
        <v>-1900</v>
      </c>
      <c r="O112" s="411">
        <f t="shared" si="45"/>
        <v>-769.59380309884045</v>
      </c>
    </row>
    <row r="113" spans="6:28">
      <c r="M113" s="410">
        <f t="shared" si="43"/>
        <v>17</v>
      </c>
      <c r="N113" s="376">
        <f t="shared" si="44"/>
        <v>879.62237170528579</v>
      </c>
      <c r="O113" s="411">
        <f t="shared" si="45"/>
        <v>356.2904875428909</v>
      </c>
    </row>
    <row r="114" spans="6:28">
      <c r="M114" s="410">
        <f t="shared" si="43"/>
        <v>23</v>
      </c>
      <c r="N114" s="376">
        <f t="shared" si="44"/>
        <v>1536.7200430275916</v>
      </c>
      <c r="O114" s="411">
        <f t="shared" si="45"/>
        <v>452.45575314364874</v>
      </c>
      <c r="Q114" s="48"/>
    </row>
    <row r="115" spans="6:28">
      <c r="M115" s="410">
        <f t="shared" si="43"/>
        <v>29</v>
      </c>
      <c r="N115" s="376">
        <f t="shared" si="44"/>
        <v>2560.9916842903508</v>
      </c>
      <c r="O115" s="411">
        <f t="shared" si="45"/>
        <v>548.10394182536356</v>
      </c>
    </row>
    <row r="116" spans="6:28">
      <c r="M116" s="410">
        <f t="shared" si="43"/>
        <v>35</v>
      </c>
      <c r="N116" s="376">
        <f t="shared" si="44"/>
        <v>4005.8715643940177</v>
      </c>
      <c r="O116" s="411">
        <f t="shared" si="45"/>
        <v>623.19674462786202</v>
      </c>
    </row>
    <row r="117" spans="6:28">
      <c r="M117" s="410">
        <f t="shared" si="43"/>
        <v>41</v>
      </c>
      <c r="N117" s="376">
        <f t="shared" si="44"/>
        <v>5174.3085733400058</v>
      </c>
      <c r="O117" s="411">
        <f t="shared" si="45"/>
        <v>585.13203785965072</v>
      </c>
    </row>
    <row r="118" spans="6:28">
      <c r="M118" s="410">
        <f t="shared" si="43"/>
        <v>47</v>
      </c>
      <c r="N118" s="376">
        <f t="shared" si="44"/>
        <v>5540.2928775541404</v>
      </c>
      <c r="O118" s="411">
        <f t="shared" si="45"/>
        <v>455.41536059589322</v>
      </c>
    </row>
    <row r="119" spans="6:28">
      <c r="M119" s="410">
        <f t="shared" si="43"/>
        <v>53</v>
      </c>
      <c r="N119" s="417">
        <f t="shared" si="44"/>
        <v>39348.673058287015</v>
      </c>
      <c r="O119" s="411">
        <f t="shared" si="45"/>
        <v>2351.1397315234494</v>
      </c>
    </row>
    <row r="120" spans="6:28">
      <c r="M120" s="412">
        <v>53</v>
      </c>
      <c r="N120" s="403">
        <v>4000</v>
      </c>
      <c r="O120" s="414">
        <f t="shared" si="45"/>
        <v>239.00574517882384</v>
      </c>
    </row>
    <row r="121" spans="6:28">
      <c r="M121" s="305"/>
      <c r="N121" s="305"/>
      <c r="O121" s="415">
        <f>SUM(O107:O120)</f>
        <v>-2790.1664103730936</v>
      </c>
    </row>
    <row r="122" spans="6:28">
      <c r="M122" s="304" t="s">
        <v>307</v>
      </c>
      <c r="N122" s="400">
        <v>5.4600000000000003E-2</v>
      </c>
      <c r="O122" s="305"/>
    </row>
    <row r="125" spans="6:28">
      <c r="F125" s="398"/>
      <c r="G125" s="398"/>
      <c r="H125" s="398"/>
      <c r="I125" s="398"/>
      <c r="J125" s="399" t="s">
        <v>347</v>
      </c>
      <c r="K125" s="398"/>
      <c r="L125" s="398"/>
      <c r="M125" s="418" t="s">
        <v>346</v>
      </c>
      <c r="N125" s="302"/>
      <c r="O125" s="302"/>
      <c r="P125" s="302"/>
      <c r="Q125" s="302"/>
      <c r="R125" s="302"/>
      <c r="S125" s="302"/>
      <c r="T125" s="302"/>
      <c r="U125" s="302"/>
      <c r="V125" s="302"/>
      <c r="W125" s="302"/>
      <c r="X125" s="302"/>
      <c r="Y125" s="302"/>
      <c r="Z125" s="302"/>
      <c r="AA125" s="302"/>
      <c r="AB125" s="302"/>
    </row>
    <row r="126" spans="6:28">
      <c r="F126" s="17"/>
      <c r="G126" s="17"/>
      <c r="H126" s="17"/>
      <c r="I126" s="17"/>
      <c r="J126" s="17"/>
      <c r="K126" s="17"/>
      <c r="L126" s="17"/>
      <c r="M126" s="303" t="s">
        <v>308</v>
      </c>
      <c r="N126" s="302"/>
      <c r="O126" s="302"/>
      <c r="P126" s="302"/>
      <c r="Q126" s="302"/>
      <c r="R126" s="302"/>
      <c r="S126" s="302"/>
      <c r="T126" s="302"/>
      <c r="U126" s="302"/>
      <c r="V126" s="302"/>
      <c r="W126" s="302"/>
      <c r="X126" s="302"/>
      <c r="Y126" s="302"/>
      <c r="Z126" s="302"/>
      <c r="AA126" s="302"/>
      <c r="AB126" s="302"/>
    </row>
    <row r="127" spans="6:28">
      <c r="F127" s="17"/>
      <c r="G127" s="17"/>
      <c r="H127" s="17"/>
      <c r="I127" s="17"/>
      <c r="J127" s="17"/>
      <c r="K127" s="17"/>
      <c r="L127" s="17"/>
      <c r="M127" s="303" t="s">
        <v>309</v>
      </c>
      <c r="N127" s="302"/>
      <c r="O127" s="302"/>
      <c r="P127" s="302"/>
      <c r="Q127" s="302"/>
      <c r="R127" s="302"/>
      <c r="S127" s="302"/>
      <c r="T127" s="302"/>
      <c r="U127" s="302"/>
      <c r="V127" s="302"/>
      <c r="W127" s="302"/>
      <c r="X127" s="302"/>
      <c r="Y127" s="302"/>
      <c r="Z127" s="302"/>
      <c r="AA127" s="302"/>
      <c r="AB127" s="302"/>
    </row>
    <row r="128" spans="6:28">
      <c r="F128" s="17"/>
      <c r="G128" s="17"/>
      <c r="H128" s="17"/>
      <c r="I128" s="17"/>
      <c r="J128" s="17"/>
      <c r="K128" s="17"/>
      <c r="L128" s="17"/>
      <c r="M128" s="303" t="s">
        <v>345</v>
      </c>
      <c r="N128" s="302"/>
      <c r="O128" s="302"/>
      <c r="P128" s="302"/>
      <c r="Q128" s="302"/>
      <c r="R128" s="302"/>
      <c r="S128" s="302"/>
      <c r="T128" s="302"/>
      <c r="U128" s="302"/>
      <c r="V128" s="302"/>
      <c r="W128" s="302"/>
      <c r="X128" s="302"/>
      <c r="Y128" s="302"/>
      <c r="Z128" s="302"/>
      <c r="AA128" s="302"/>
      <c r="AB128" s="302"/>
    </row>
  </sheetData>
  <mergeCells count="9">
    <mergeCell ref="N39:Y39"/>
    <mergeCell ref="M6:M7"/>
    <mergeCell ref="P6:P7"/>
    <mergeCell ref="Q6:X6"/>
    <mergeCell ref="Y6:AF6"/>
    <mergeCell ref="Q23:X23"/>
    <mergeCell ref="Y23:AF23"/>
    <mergeCell ref="M23:M24"/>
    <mergeCell ref="P23:P24"/>
  </mergeCells>
  <phoneticPr fontId="4" type="noConversion"/>
  <pageMargins left="0.78740157480314965" right="0.78740157480314965" top="0.98425196850393704" bottom="0.98425196850393704" header="0.51181102362204722" footer="0.51181102362204722"/>
  <pageSetup paperSize="9" scale="50" fitToHeight="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V185"/>
  <sheetViews>
    <sheetView topLeftCell="A32" zoomScale="70" zoomScaleNormal="70" workbookViewId="0">
      <selection activeCell="S149" sqref="S149"/>
    </sheetView>
  </sheetViews>
  <sheetFormatPr baseColWidth="10" defaultRowHeight="12.75"/>
  <cols>
    <col min="1" max="1" width="2.42578125" customWidth="1"/>
    <col min="3" max="3" width="18.5703125" bestFit="1" customWidth="1"/>
    <col min="4" max="4" width="24.85546875" bestFit="1" customWidth="1"/>
  </cols>
  <sheetData>
    <row r="2" spans="2:21">
      <c r="B2" s="2" t="s">
        <v>27</v>
      </c>
    </row>
    <row r="3" spans="2:21">
      <c r="J3" s="18" t="s">
        <v>310</v>
      </c>
      <c r="L3">
        <v>0.02</v>
      </c>
    </row>
    <row r="4" spans="2:21">
      <c r="B4" t="s">
        <v>86</v>
      </c>
    </row>
    <row r="5" spans="2:21">
      <c r="B5" t="s">
        <v>87</v>
      </c>
      <c r="J5" s="424" t="s">
        <v>348</v>
      </c>
      <c r="K5" s="419"/>
      <c r="L5" s="419"/>
      <c r="M5" s="419"/>
      <c r="N5" s="419"/>
      <c r="O5" s="419"/>
      <c r="P5" s="419"/>
      <c r="Q5" s="419"/>
      <c r="R5" s="419"/>
      <c r="S5" s="419"/>
      <c r="T5" s="419"/>
      <c r="U5" s="419"/>
    </row>
    <row r="6" spans="2:21">
      <c r="B6" t="s">
        <v>88</v>
      </c>
      <c r="J6" s="422" t="s">
        <v>311</v>
      </c>
      <c r="K6" s="422" t="s">
        <v>313</v>
      </c>
      <c r="L6" s="422" t="s">
        <v>312</v>
      </c>
      <c r="M6" s="422" t="s">
        <v>288</v>
      </c>
      <c r="N6" s="422" t="s">
        <v>454</v>
      </c>
      <c r="O6" s="422" t="s">
        <v>290</v>
      </c>
      <c r="P6" s="422" t="s">
        <v>421</v>
      </c>
    </row>
    <row r="7" spans="2:21">
      <c r="B7" t="s">
        <v>89</v>
      </c>
      <c r="J7" s="423">
        <v>1</v>
      </c>
      <c r="K7" s="423">
        <v>0</v>
      </c>
      <c r="L7" s="423">
        <v>5</v>
      </c>
      <c r="M7" s="423">
        <v>0</v>
      </c>
      <c r="N7" s="423">
        <v>0</v>
      </c>
      <c r="O7" s="423">
        <f>M7-N7-L7-K7</f>
        <v>-5</v>
      </c>
      <c r="P7" s="431">
        <f>1/(1+L$3)^J7</f>
        <v>0.98039215686274506</v>
      </c>
      <c r="Q7" s="169" t="s">
        <v>315</v>
      </c>
      <c r="R7" s="170"/>
      <c r="S7" s="170"/>
    </row>
    <row r="8" spans="2:21">
      <c r="J8" s="423">
        <v>2</v>
      </c>
      <c r="K8" s="423">
        <v>0</v>
      </c>
      <c r="L8" s="423">
        <v>5</v>
      </c>
      <c r="M8" s="423">
        <v>0</v>
      </c>
      <c r="N8" s="423">
        <v>0</v>
      </c>
      <c r="O8" s="423">
        <f t="shared" ref="O8:O31" si="0">M8-N8-L8-K8</f>
        <v>-5</v>
      </c>
      <c r="P8" s="431">
        <f t="shared" ref="P8:P31" si="1">1/(1+L$3)^J8</f>
        <v>0.96116878123798544</v>
      </c>
      <c r="Q8" s="170"/>
      <c r="R8" s="170"/>
      <c r="S8" s="170"/>
    </row>
    <row r="9" spans="2:21">
      <c r="B9" s="18" t="s">
        <v>259</v>
      </c>
      <c r="D9" s="17"/>
      <c r="E9" s="194" t="s">
        <v>453</v>
      </c>
      <c r="J9" s="423">
        <v>3</v>
      </c>
      <c r="K9" s="423">
        <v>0</v>
      </c>
      <c r="L9" s="423">
        <v>5</v>
      </c>
      <c r="M9" s="423">
        <v>0</v>
      </c>
      <c r="N9" s="423">
        <v>0</v>
      </c>
      <c r="O9" s="423">
        <f t="shared" si="0"/>
        <v>-5</v>
      </c>
      <c r="P9" s="431">
        <f t="shared" si="1"/>
        <v>0.94232233454704462</v>
      </c>
    </row>
    <row r="10" spans="2:21">
      <c r="B10" t="s">
        <v>90</v>
      </c>
      <c r="J10" s="423">
        <v>4</v>
      </c>
      <c r="K10" s="423">
        <v>0</v>
      </c>
      <c r="L10" s="423">
        <v>5</v>
      </c>
      <c r="M10" s="423">
        <v>0</v>
      </c>
      <c r="N10" s="423">
        <v>0</v>
      </c>
      <c r="O10" s="423">
        <f t="shared" si="0"/>
        <v>-5</v>
      </c>
      <c r="P10" s="431">
        <f t="shared" si="1"/>
        <v>0.9238454260265142</v>
      </c>
    </row>
    <row r="11" spans="2:21">
      <c r="B11" t="s">
        <v>91</v>
      </c>
      <c r="J11" s="423">
        <v>5</v>
      </c>
      <c r="K11" s="423">
        <v>0</v>
      </c>
      <c r="L11" s="423">
        <v>5</v>
      </c>
      <c r="M11" s="423">
        <v>0</v>
      </c>
      <c r="N11" s="423">
        <v>0</v>
      </c>
      <c r="O11" s="423">
        <f t="shared" si="0"/>
        <v>-5</v>
      </c>
      <c r="P11" s="431">
        <f t="shared" si="1"/>
        <v>0.90573080982991594</v>
      </c>
    </row>
    <row r="12" spans="2:21">
      <c r="B12" t="s">
        <v>92</v>
      </c>
      <c r="J12" s="423">
        <v>6</v>
      </c>
      <c r="K12" s="423">
        <v>0</v>
      </c>
      <c r="L12" s="423">
        <v>5</v>
      </c>
      <c r="M12" s="423">
        <v>0</v>
      </c>
      <c r="N12" s="423">
        <v>0</v>
      </c>
      <c r="O12" s="423">
        <f t="shared" si="0"/>
        <v>-5</v>
      </c>
      <c r="P12" s="431">
        <f t="shared" si="1"/>
        <v>0.88797138218619198</v>
      </c>
    </row>
    <row r="13" spans="2:21">
      <c r="B13" t="s">
        <v>93</v>
      </c>
      <c r="J13" s="423">
        <v>7</v>
      </c>
      <c r="K13" s="423">
        <v>0</v>
      </c>
      <c r="L13" s="423">
        <v>5</v>
      </c>
      <c r="M13" s="423">
        <v>0</v>
      </c>
      <c r="N13" s="423">
        <v>0</v>
      </c>
      <c r="O13" s="423">
        <f t="shared" si="0"/>
        <v>-5</v>
      </c>
      <c r="P13" s="431">
        <f t="shared" si="1"/>
        <v>0.87056017861391388</v>
      </c>
    </row>
    <row r="14" spans="2:21">
      <c r="B14" s="18" t="s">
        <v>264</v>
      </c>
      <c r="J14" s="423">
        <v>8</v>
      </c>
      <c r="K14" s="423">
        <v>0</v>
      </c>
      <c r="L14" s="423">
        <v>5</v>
      </c>
      <c r="M14" s="423">
        <v>0</v>
      </c>
      <c r="N14" s="423">
        <v>0</v>
      </c>
      <c r="O14" s="423">
        <f t="shared" si="0"/>
        <v>-5</v>
      </c>
      <c r="P14" s="431">
        <f t="shared" si="1"/>
        <v>0.85349037119011162</v>
      </c>
    </row>
    <row r="15" spans="2:21">
      <c r="B15" s="18" t="s">
        <v>265</v>
      </c>
      <c r="J15" s="423">
        <v>9</v>
      </c>
      <c r="K15" s="423">
        <v>0</v>
      </c>
      <c r="L15" s="423">
        <v>5</v>
      </c>
      <c r="M15" s="423">
        <v>0</v>
      </c>
      <c r="N15" s="423">
        <v>0</v>
      </c>
      <c r="O15" s="423">
        <f t="shared" si="0"/>
        <v>-5</v>
      </c>
      <c r="P15" s="431">
        <f t="shared" si="1"/>
        <v>0.83675526587265847</v>
      </c>
    </row>
    <row r="16" spans="2:21">
      <c r="J16" s="423">
        <v>10</v>
      </c>
      <c r="K16" s="423">
        <v>0</v>
      </c>
      <c r="L16" s="423">
        <v>5</v>
      </c>
      <c r="M16" s="423">
        <v>0</v>
      </c>
      <c r="N16" s="423">
        <v>0</v>
      </c>
      <c r="O16" s="423">
        <f t="shared" si="0"/>
        <v>-5</v>
      </c>
      <c r="P16" s="431">
        <f t="shared" si="1"/>
        <v>0.82034829987515534</v>
      </c>
    </row>
    <row r="17" spans="2:18">
      <c r="B17" s="296" t="s">
        <v>94</v>
      </c>
      <c r="C17" s="296"/>
      <c r="D17" s="296"/>
      <c r="E17" s="296"/>
      <c r="J17" s="423">
        <v>11</v>
      </c>
      <c r="K17" s="423">
        <v>0</v>
      </c>
      <c r="L17" s="423">
        <v>5</v>
      </c>
      <c r="M17" s="423">
        <v>0</v>
      </c>
      <c r="N17" s="423">
        <v>0</v>
      </c>
      <c r="O17" s="423">
        <f t="shared" si="0"/>
        <v>-5</v>
      </c>
      <c r="P17" s="431">
        <f t="shared" si="1"/>
        <v>0.80426303909328967</v>
      </c>
    </row>
    <row r="18" spans="2:18">
      <c r="B18" s="296"/>
      <c r="C18" s="420"/>
      <c r="D18" s="421" t="s">
        <v>47</v>
      </c>
      <c r="E18" s="421" t="s">
        <v>95</v>
      </c>
      <c r="G18" s="2"/>
      <c r="J18" s="423">
        <v>12</v>
      </c>
      <c r="K18" s="423">
        <v>0</v>
      </c>
      <c r="L18" s="423">
        <v>5</v>
      </c>
      <c r="M18" s="423">
        <v>0</v>
      </c>
      <c r="N18" s="423">
        <v>0</v>
      </c>
      <c r="O18" s="423">
        <f t="shared" si="0"/>
        <v>-5</v>
      </c>
      <c r="P18" s="431">
        <f t="shared" si="1"/>
        <v>0.78849317558165644</v>
      </c>
    </row>
    <row r="19" spans="2:18">
      <c r="B19" s="296"/>
      <c r="C19" s="420" t="s">
        <v>96</v>
      </c>
      <c r="D19" s="421">
        <v>180</v>
      </c>
      <c r="E19" s="421">
        <v>35</v>
      </c>
      <c r="G19" s="18"/>
      <c r="H19" s="157"/>
      <c r="J19" s="423">
        <v>13</v>
      </c>
      <c r="K19" s="423">
        <v>0</v>
      </c>
      <c r="L19" s="423">
        <v>5</v>
      </c>
      <c r="M19" s="423">
        <v>0</v>
      </c>
      <c r="N19" s="423">
        <v>0</v>
      </c>
      <c r="O19" s="423">
        <f t="shared" si="0"/>
        <v>-5</v>
      </c>
      <c r="P19" s="431">
        <f t="shared" si="1"/>
        <v>0.77303252508005538</v>
      </c>
    </row>
    <row r="20" spans="2:18">
      <c r="B20" s="296"/>
      <c r="C20" s="420" t="s">
        <v>97</v>
      </c>
      <c r="D20" s="421">
        <v>140</v>
      </c>
      <c r="E20" s="421">
        <v>15</v>
      </c>
      <c r="J20" s="423">
        <v>14</v>
      </c>
      <c r="K20" s="423">
        <v>0</v>
      </c>
      <c r="L20" s="423">
        <v>5</v>
      </c>
      <c r="M20" s="423">
        <v>0</v>
      </c>
      <c r="N20" s="423">
        <v>0</v>
      </c>
      <c r="O20" s="423">
        <f t="shared" si="0"/>
        <v>-5</v>
      </c>
      <c r="P20" s="431">
        <f t="shared" si="1"/>
        <v>0.75787502458828948</v>
      </c>
    </row>
    <row r="21" spans="2:18">
      <c r="J21" s="423">
        <v>15</v>
      </c>
      <c r="K21" s="423">
        <v>0</v>
      </c>
      <c r="L21" s="423">
        <v>5</v>
      </c>
      <c r="M21" s="423">
        <v>0</v>
      </c>
      <c r="N21" s="423">
        <v>0</v>
      </c>
      <c r="O21" s="423">
        <f t="shared" si="0"/>
        <v>-5</v>
      </c>
      <c r="P21" s="431">
        <f t="shared" si="1"/>
        <v>0.74301472998851925</v>
      </c>
    </row>
    <row r="22" spans="2:18">
      <c r="B22" s="365" t="s">
        <v>98</v>
      </c>
      <c r="C22" s="365"/>
      <c r="D22" s="365"/>
      <c r="E22" s="365"/>
      <c r="G22" s="2"/>
      <c r="J22" s="423">
        <v>16</v>
      </c>
      <c r="K22" s="423">
        <v>0</v>
      </c>
      <c r="L22" s="423">
        <v>5</v>
      </c>
      <c r="M22" s="423">
        <v>0</v>
      </c>
      <c r="N22" s="423">
        <v>0</v>
      </c>
      <c r="O22" s="423">
        <f t="shared" si="0"/>
        <v>-5</v>
      </c>
      <c r="P22" s="431">
        <f t="shared" si="1"/>
        <v>0.72844581371423445</v>
      </c>
    </row>
    <row r="23" spans="2:18">
      <c r="B23" s="365"/>
      <c r="C23" s="365" t="s">
        <v>99</v>
      </c>
      <c r="D23" s="365"/>
      <c r="E23" s="365"/>
      <c r="G23" s="18"/>
      <c r="H23" s="48"/>
      <c r="J23" s="423">
        <v>17</v>
      </c>
      <c r="K23" s="423">
        <v>0</v>
      </c>
      <c r="L23" s="423">
        <v>5</v>
      </c>
      <c r="M23" s="423">
        <v>0</v>
      </c>
      <c r="N23" s="423">
        <v>0</v>
      </c>
      <c r="O23" s="423">
        <f t="shared" si="0"/>
        <v>-5</v>
      </c>
      <c r="P23" s="431">
        <f t="shared" si="1"/>
        <v>0.7141625624649357</v>
      </c>
    </row>
    <row r="24" spans="2:18">
      <c r="B24" s="365"/>
      <c r="C24" s="365" t="s">
        <v>100</v>
      </c>
      <c r="D24" s="365"/>
      <c r="E24" s="365"/>
      <c r="J24" s="423">
        <v>18</v>
      </c>
      <c r="K24" s="423">
        <v>0</v>
      </c>
      <c r="L24" s="423">
        <v>5</v>
      </c>
      <c r="M24" s="423">
        <v>0</v>
      </c>
      <c r="N24" s="423">
        <v>0</v>
      </c>
      <c r="O24" s="423">
        <f t="shared" si="0"/>
        <v>-5</v>
      </c>
      <c r="P24" s="431">
        <f t="shared" si="1"/>
        <v>0.7001593749656233</v>
      </c>
    </row>
    <row r="25" spans="2:18">
      <c r="B25" s="365"/>
      <c r="C25" s="365" t="s">
        <v>101</v>
      </c>
      <c r="D25" s="365"/>
      <c r="E25" s="365"/>
      <c r="J25" s="423">
        <v>19</v>
      </c>
      <c r="K25" s="423">
        <v>0</v>
      </c>
      <c r="L25" s="423">
        <v>5</v>
      </c>
      <c r="M25" s="423">
        <v>0</v>
      </c>
      <c r="N25" s="423">
        <v>0</v>
      </c>
      <c r="O25" s="423">
        <f t="shared" si="0"/>
        <v>-5</v>
      </c>
      <c r="P25" s="431">
        <f t="shared" si="1"/>
        <v>0.68643075977021895</v>
      </c>
    </row>
    <row r="26" spans="2:18">
      <c r="J26" s="423">
        <v>20</v>
      </c>
      <c r="K26" s="423">
        <v>0</v>
      </c>
      <c r="L26" s="423">
        <v>5</v>
      </c>
      <c r="M26" s="423">
        <v>0</v>
      </c>
      <c r="N26" s="423">
        <v>0</v>
      </c>
      <c r="O26" s="423">
        <f t="shared" si="0"/>
        <v>-5</v>
      </c>
      <c r="P26" s="431">
        <f t="shared" si="1"/>
        <v>0.67297133310805779</v>
      </c>
    </row>
    <row r="27" spans="2:18">
      <c r="B27" s="241" t="s">
        <v>102</v>
      </c>
      <c r="C27" s="241"/>
      <c r="D27" s="241"/>
      <c r="E27" s="241"/>
      <c r="J27" s="423">
        <v>21</v>
      </c>
      <c r="K27" s="423">
        <v>0</v>
      </c>
      <c r="L27" s="423">
        <v>5</v>
      </c>
      <c r="M27" s="423">
        <v>0</v>
      </c>
      <c r="N27" s="423">
        <v>0</v>
      </c>
      <c r="O27" s="423">
        <f t="shared" si="0"/>
        <v>-5</v>
      </c>
      <c r="P27" s="431">
        <f t="shared" si="1"/>
        <v>0.65977581677260566</v>
      </c>
    </row>
    <row r="28" spans="2:18">
      <c r="B28" s="241"/>
      <c r="C28" s="241" t="s">
        <v>99</v>
      </c>
      <c r="D28" s="241"/>
      <c r="E28" s="241"/>
      <c r="G28" s="2"/>
      <c r="J28" s="423">
        <v>22</v>
      </c>
      <c r="K28" s="423">
        <v>0</v>
      </c>
      <c r="L28" s="423">
        <v>5</v>
      </c>
      <c r="M28" s="423">
        <v>0</v>
      </c>
      <c r="N28" s="423">
        <v>0</v>
      </c>
      <c r="O28" s="423">
        <f t="shared" si="0"/>
        <v>-5</v>
      </c>
      <c r="P28" s="431">
        <f t="shared" si="1"/>
        <v>0.64683903605157411</v>
      </c>
    </row>
    <row r="29" spans="2:18">
      <c r="B29" s="241"/>
      <c r="C29" s="241" t="s">
        <v>103</v>
      </c>
      <c r="D29" s="241"/>
      <c r="E29" s="241"/>
      <c r="G29" s="18"/>
      <c r="H29" s="48"/>
      <c r="J29" s="423">
        <v>23</v>
      </c>
      <c r="K29" s="423">
        <v>0</v>
      </c>
      <c r="L29" s="423">
        <v>5</v>
      </c>
      <c r="M29" s="423">
        <v>0</v>
      </c>
      <c r="N29" s="423">
        <v>0</v>
      </c>
      <c r="O29" s="423">
        <f t="shared" si="0"/>
        <v>-5</v>
      </c>
      <c r="P29" s="431">
        <f t="shared" si="1"/>
        <v>0.63415591769762181</v>
      </c>
    </row>
    <row r="30" spans="2:18">
      <c r="B30" s="241"/>
      <c r="C30" s="241" t="s">
        <v>104</v>
      </c>
      <c r="D30" s="241"/>
      <c r="E30" s="241"/>
      <c r="J30" s="423">
        <v>24</v>
      </c>
      <c r="K30" s="423">
        <v>0</v>
      </c>
      <c r="L30" s="423">
        <v>5</v>
      </c>
      <c r="M30" s="423">
        <v>0</v>
      </c>
      <c r="N30" s="423">
        <v>0</v>
      </c>
      <c r="O30" s="423">
        <f t="shared" si="0"/>
        <v>-5</v>
      </c>
      <c r="P30" s="431">
        <f t="shared" si="1"/>
        <v>0.62172148793884485</v>
      </c>
    </row>
    <row r="31" spans="2:18">
      <c r="B31" s="241"/>
      <c r="C31" s="241" t="s">
        <v>105</v>
      </c>
      <c r="D31" s="241"/>
      <c r="E31" s="241"/>
      <c r="J31" s="296">
        <v>25</v>
      </c>
      <c r="K31" s="296">
        <v>0</v>
      </c>
      <c r="L31" s="296">
        <v>5</v>
      </c>
      <c r="M31" s="296">
        <f>D19*E19+E20*D20</f>
        <v>8400</v>
      </c>
      <c r="N31" s="296">
        <f>(D19+D20)*15</f>
        <v>4800</v>
      </c>
      <c r="O31" s="296">
        <f t="shared" si="0"/>
        <v>3595</v>
      </c>
      <c r="P31" s="431">
        <f t="shared" si="1"/>
        <v>0.60953087052827937</v>
      </c>
    </row>
    <row r="32" spans="2:18">
      <c r="J32" s="296"/>
      <c r="K32" s="296"/>
      <c r="L32" s="296"/>
      <c r="M32" s="296"/>
      <c r="N32" s="296"/>
      <c r="O32" s="296"/>
      <c r="P32" s="296"/>
      <c r="Q32" s="296"/>
      <c r="R32" s="296"/>
    </row>
    <row r="33" spans="2:22">
      <c r="B33" s="302" t="s">
        <v>250</v>
      </c>
      <c r="C33" s="302"/>
      <c r="D33" s="302"/>
      <c r="E33" s="302"/>
      <c r="F33" s="302"/>
      <c r="G33" s="302"/>
      <c r="O33" s="358" t="s">
        <v>276</v>
      </c>
      <c r="P33" s="357">
        <f>SUMPRODUCT(P7:P31,O7:O31)</f>
        <v>2096.6938515338757</v>
      </c>
      <c r="Q33" s="296"/>
      <c r="R33" s="297" t="s">
        <v>351</v>
      </c>
      <c r="S33" s="296"/>
      <c r="T33" s="296"/>
      <c r="U33" s="296"/>
    </row>
    <row r="34" spans="2:22">
      <c r="B34" s="302"/>
      <c r="C34" s="443" t="s">
        <v>1</v>
      </c>
      <c r="D34" s="443" t="s">
        <v>106</v>
      </c>
      <c r="E34" s="443" t="s">
        <v>107</v>
      </c>
      <c r="F34" s="443" t="s">
        <v>108</v>
      </c>
      <c r="G34" s="443" t="s">
        <v>109</v>
      </c>
      <c r="O34" s="358" t="s">
        <v>278</v>
      </c>
      <c r="P34" s="357">
        <f>P33*(1+L3)^J31/((1+L3)^J31-1)</f>
        <v>5369.6789151310522</v>
      </c>
      <c r="Q34" s="296"/>
      <c r="R34" s="297" t="s">
        <v>314</v>
      </c>
      <c r="S34" s="296"/>
      <c r="T34" s="296"/>
      <c r="U34" s="296"/>
    </row>
    <row r="35" spans="2:22">
      <c r="B35" s="302"/>
      <c r="C35" s="443">
        <v>0</v>
      </c>
      <c r="D35" s="443" t="s">
        <v>110</v>
      </c>
      <c r="E35" s="443"/>
      <c r="F35" s="443" t="s">
        <v>111</v>
      </c>
      <c r="G35" s="443"/>
      <c r="J35" s="366" t="s">
        <v>349</v>
      </c>
      <c r="K35" s="365"/>
      <c r="L35" s="365"/>
      <c r="M35" s="365"/>
      <c r="N35" s="365"/>
      <c r="O35" s="365"/>
      <c r="P35" s="365"/>
      <c r="Q35" s="365"/>
      <c r="R35" s="365"/>
      <c r="S35" s="365"/>
      <c r="T35" s="365"/>
      <c r="U35" s="365"/>
    </row>
    <row r="36" spans="2:22">
      <c r="B36" s="302"/>
      <c r="C36" s="443">
        <v>1</v>
      </c>
      <c r="D36" s="443" t="s">
        <v>112</v>
      </c>
      <c r="E36" s="443"/>
      <c r="F36" s="443" t="s">
        <v>113</v>
      </c>
      <c r="G36" s="443"/>
      <c r="J36" s="427" t="s">
        <v>311</v>
      </c>
      <c r="K36" s="427" t="s">
        <v>313</v>
      </c>
      <c r="L36" s="427" t="s">
        <v>312</v>
      </c>
      <c r="M36" s="427" t="s">
        <v>288</v>
      </c>
      <c r="N36" s="427" t="s">
        <v>454</v>
      </c>
      <c r="O36" s="427" t="s">
        <v>290</v>
      </c>
      <c r="P36" s="427" t="s">
        <v>421</v>
      </c>
      <c r="Q36" s="298"/>
    </row>
    <row r="37" spans="2:22">
      <c r="B37" s="302"/>
      <c r="C37" s="443">
        <v>2</v>
      </c>
      <c r="D37" s="443" t="s">
        <v>114</v>
      </c>
      <c r="E37" s="443"/>
      <c r="F37" s="443" t="s">
        <v>115</v>
      </c>
      <c r="G37" s="443"/>
      <c r="J37" s="428">
        <v>1</v>
      </c>
      <c r="K37" s="428">
        <v>0</v>
      </c>
      <c r="L37" s="428">
        <v>5</v>
      </c>
      <c r="M37" s="428">
        <v>0</v>
      </c>
      <c r="N37" s="428">
        <v>0</v>
      </c>
      <c r="O37" s="428">
        <f>M37-N37-L37-K37</f>
        <v>-5</v>
      </c>
      <c r="P37" s="432">
        <f>1/(1+L$3)^J37</f>
        <v>0.98039215686274506</v>
      </c>
      <c r="Q37" s="429"/>
      <c r="S37" s="299" t="s">
        <v>455</v>
      </c>
      <c r="T37" s="298"/>
      <c r="U37" s="298"/>
      <c r="V37" s="298"/>
    </row>
    <row r="38" spans="2:22">
      <c r="B38" s="302"/>
      <c r="C38" s="443">
        <v>3</v>
      </c>
      <c r="D38" s="443" t="s">
        <v>114</v>
      </c>
      <c r="E38" s="443"/>
      <c r="F38" s="443" t="s">
        <v>116</v>
      </c>
      <c r="G38" s="443"/>
      <c r="J38" s="298">
        <v>2</v>
      </c>
      <c r="K38" s="298">
        <v>0</v>
      </c>
      <c r="L38" s="298">
        <v>5</v>
      </c>
      <c r="M38" s="298">
        <v>0</v>
      </c>
      <c r="N38" s="298">
        <v>0</v>
      </c>
      <c r="O38" s="298">
        <f t="shared" ref="O38:O61" si="2">M38-N38-L38-K38</f>
        <v>-5</v>
      </c>
      <c r="P38" s="432">
        <f t="shared" ref="P38:P71" si="3">1/(1+L$3)^J38</f>
        <v>0.96116878123798544</v>
      </c>
      <c r="Q38" s="429"/>
      <c r="S38" s="299" t="s">
        <v>456</v>
      </c>
      <c r="T38" s="298">
        <v>1600</v>
      </c>
      <c r="U38" s="298"/>
      <c r="V38" s="298"/>
    </row>
    <row r="39" spans="2:22">
      <c r="B39" s="302"/>
      <c r="C39" s="443">
        <v>5</v>
      </c>
      <c r="D39" s="443" t="s">
        <v>114</v>
      </c>
      <c r="E39" s="443"/>
      <c r="F39" s="443" t="s">
        <v>115</v>
      </c>
      <c r="G39" s="443"/>
      <c r="J39" s="298">
        <v>3</v>
      </c>
      <c r="K39" s="298">
        <v>0</v>
      </c>
      <c r="L39" s="298">
        <v>5</v>
      </c>
      <c r="M39" s="298">
        <v>0</v>
      </c>
      <c r="N39" s="298">
        <v>0</v>
      </c>
      <c r="O39" s="298">
        <f t="shared" si="2"/>
        <v>-5</v>
      </c>
      <c r="P39" s="432">
        <f t="shared" si="3"/>
        <v>0.94232233454704462</v>
      </c>
      <c r="Q39" s="429"/>
      <c r="S39" s="298"/>
      <c r="T39" s="427" t="s">
        <v>458</v>
      </c>
      <c r="U39" s="427" t="s">
        <v>459</v>
      </c>
      <c r="V39" s="427" t="s">
        <v>460</v>
      </c>
    </row>
    <row r="40" spans="2:22">
      <c r="B40" s="302"/>
      <c r="C40" s="443">
        <v>10</v>
      </c>
      <c r="D40" s="443" t="s">
        <v>52</v>
      </c>
      <c r="E40" s="443" t="s">
        <v>117</v>
      </c>
      <c r="F40" s="443"/>
      <c r="G40" s="443" t="s">
        <v>118</v>
      </c>
      <c r="J40" s="298">
        <v>4</v>
      </c>
      <c r="K40" s="298">
        <v>0</v>
      </c>
      <c r="L40" s="298">
        <v>5</v>
      </c>
      <c r="M40" s="298">
        <v>0</v>
      </c>
      <c r="N40" s="298">
        <v>0</v>
      </c>
      <c r="O40" s="298">
        <f t="shared" si="2"/>
        <v>-5</v>
      </c>
      <c r="P40" s="432">
        <f t="shared" si="3"/>
        <v>0.9238454260265142</v>
      </c>
      <c r="Q40" s="429"/>
      <c r="S40" s="299" t="s">
        <v>462</v>
      </c>
      <c r="T40" s="298">
        <v>300</v>
      </c>
      <c r="U40" s="298">
        <v>50</v>
      </c>
      <c r="V40" s="298">
        <v>15</v>
      </c>
    </row>
    <row r="41" spans="2:22">
      <c r="B41" s="302"/>
      <c r="C41" s="443">
        <v>10</v>
      </c>
      <c r="D41" s="443" t="s">
        <v>119</v>
      </c>
      <c r="E41" s="443" t="s">
        <v>120</v>
      </c>
      <c r="F41" s="443" t="s">
        <v>121</v>
      </c>
      <c r="G41" s="443"/>
      <c r="J41" s="298">
        <v>5</v>
      </c>
      <c r="K41" s="298">
        <v>0</v>
      </c>
      <c r="L41" s="298">
        <v>5</v>
      </c>
      <c r="M41" s="298">
        <v>0</v>
      </c>
      <c r="N41" s="298">
        <v>0</v>
      </c>
      <c r="O41" s="298">
        <f t="shared" si="2"/>
        <v>-5</v>
      </c>
      <c r="P41" s="432">
        <f t="shared" si="3"/>
        <v>0.90573080982991594</v>
      </c>
      <c r="Q41" s="429"/>
    </row>
    <row r="42" spans="2:22">
      <c r="B42" s="302"/>
      <c r="C42" s="443">
        <v>17</v>
      </c>
      <c r="D42" s="443" t="s">
        <v>52</v>
      </c>
      <c r="E42" s="443" t="s">
        <v>122</v>
      </c>
      <c r="F42" s="443"/>
      <c r="G42" s="443" t="s">
        <v>123</v>
      </c>
      <c r="J42" s="298">
        <v>6</v>
      </c>
      <c r="K42" s="298">
        <v>0</v>
      </c>
      <c r="L42" s="298">
        <v>5</v>
      </c>
      <c r="M42" s="298">
        <v>0</v>
      </c>
      <c r="N42" s="298">
        <v>0</v>
      </c>
      <c r="O42" s="298">
        <f t="shared" si="2"/>
        <v>-5</v>
      </c>
      <c r="P42" s="432">
        <f t="shared" si="3"/>
        <v>0.88797138218619198</v>
      </c>
      <c r="Q42" s="429"/>
    </row>
    <row r="43" spans="2:22">
      <c r="B43" s="302"/>
      <c r="C43" s="443">
        <v>17</v>
      </c>
      <c r="D43" s="443" t="s">
        <v>119</v>
      </c>
      <c r="E43" s="443" t="s">
        <v>120</v>
      </c>
      <c r="F43" s="443" t="s">
        <v>124</v>
      </c>
      <c r="G43" s="443"/>
      <c r="J43" s="298">
        <v>7</v>
      </c>
      <c r="K43" s="298">
        <v>0</v>
      </c>
      <c r="L43" s="298">
        <v>5</v>
      </c>
      <c r="M43" s="298">
        <v>0</v>
      </c>
      <c r="N43" s="298">
        <v>0</v>
      </c>
      <c r="O43" s="298">
        <f t="shared" si="2"/>
        <v>-5</v>
      </c>
      <c r="P43" s="432">
        <f t="shared" si="3"/>
        <v>0.87056017861391388</v>
      </c>
      <c r="Q43" s="429"/>
    </row>
    <row r="44" spans="2:22">
      <c r="B44" s="302"/>
      <c r="C44" s="443">
        <v>30</v>
      </c>
      <c r="D44" s="443" t="s">
        <v>52</v>
      </c>
      <c r="E44" s="443" t="s">
        <v>125</v>
      </c>
      <c r="F44" s="443"/>
      <c r="G44" s="443" t="s">
        <v>126</v>
      </c>
      <c r="J44" s="298">
        <v>8</v>
      </c>
      <c r="K44" s="298">
        <v>0</v>
      </c>
      <c r="L44" s="298">
        <v>5</v>
      </c>
      <c r="M44" s="298">
        <v>0</v>
      </c>
      <c r="N44" s="298">
        <v>0</v>
      </c>
      <c r="O44" s="298">
        <f t="shared" si="2"/>
        <v>-5</v>
      </c>
      <c r="P44" s="432">
        <f t="shared" si="3"/>
        <v>0.85349037119011162</v>
      </c>
      <c r="Q44" s="429"/>
    </row>
    <row r="45" spans="2:22">
      <c r="B45" s="302"/>
      <c r="C45" s="443">
        <v>50</v>
      </c>
      <c r="D45" s="443" t="s">
        <v>127</v>
      </c>
      <c r="E45" s="443" t="s">
        <v>128</v>
      </c>
      <c r="F45" s="443"/>
      <c r="G45" s="443" t="s">
        <v>129</v>
      </c>
      <c r="J45" s="298">
        <v>9</v>
      </c>
      <c r="K45" s="298">
        <v>0</v>
      </c>
      <c r="L45" s="298">
        <v>5</v>
      </c>
      <c r="M45" s="298">
        <v>0</v>
      </c>
      <c r="N45" s="298">
        <v>0</v>
      </c>
      <c r="O45" s="298">
        <f t="shared" si="2"/>
        <v>-5</v>
      </c>
      <c r="P45" s="432">
        <f t="shared" si="3"/>
        <v>0.83675526587265847</v>
      </c>
      <c r="Q45" s="429"/>
    </row>
    <row r="46" spans="2:22">
      <c r="J46" s="298">
        <v>10</v>
      </c>
      <c r="K46" s="298">
        <v>1600</v>
      </c>
      <c r="L46" s="298">
        <v>5</v>
      </c>
      <c r="M46" s="298">
        <v>0</v>
      </c>
      <c r="N46" s="298">
        <v>0</v>
      </c>
      <c r="O46" s="298">
        <f t="shared" si="2"/>
        <v>-1605</v>
      </c>
      <c r="P46" s="432">
        <f t="shared" si="3"/>
        <v>0.82034829987515534</v>
      </c>
      <c r="Q46" s="429"/>
    </row>
    <row r="47" spans="2:22">
      <c r="G47" s="173"/>
      <c r="J47" s="298">
        <v>11</v>
      </c>
      <c r="K47" s="298">
        <v>0</v>
      </c>
      <c r="L47" s="298">
        <v>5</v>
      </c>
      <c r="M47" s="298">
        <v>0</v>
      </c>
      <c r="N47" s="298">
        <v>0</v>
      </c>
      <c r="O47" s="298">
        <f t="shared" si="2"/>
        <v>-5</v>
      </c>
      <c r="P47" s="432">
        <f t="shared" si="3"/>
        <v>0.80426303909328967</v>
      </c>
      <c r="Q47" s="429"/>
    </row>
    <row r="48" spans="2:22">
      <c r="G48" s="172"/>
      <c r="H48" s="48"/>
      <c r="J48" s="298">
        <v>12</v>
      </c>
      <c r="K48" s="298">
        <v>0</v>
      </c>
      <c r="L48" s="298">
        <v>5</v>
      </c>
      <c r="M48" s="298">
        <v>0</v>
      </c>
      <c r="N48" s="298">
        <v>0</v>
      </c>
      <c r="O48" s="298">
        <f t="shared" si="2"/>
        <v>-5</v>
      </c>
      <c r="P48" s="432">
        <f t="shared" si="3"/>
        <v>0.78849317558165644</v>
      </c>
      <c r="Q48" s="429"/>
    </row>
    <row r="49" spans="4:17">
      <c r="J49" s="298">
        <v>13</v>
      </c>
      <c r="K49" s="298">
        <v>0</v>
      </c>
      <c r="L49" s="298">
        <v>5</v>
      </c>
      <c r="M49" s="298">
        <v>0</v>
      </c>
      <c r="N49" s="298">
        <v>0</v>
      </c>
      <c r="O49" s="298">
        <f t="shared" si="2"/>
        <v>-5</v>
      </c>
      <c r="P49" s="432">
        <f t="shared" si="3"/>
        <v>0.77303252508005538</v>
      </c>
      <c r="Q49" s="429"/>
    </row>
    <row r="50" spans="4:17">
      <c r="J50" s="298">
        <v>14</v>
      </c>
      <c r="K50" s="298">
        <v>0</v>
      </c>
      <c r="L50" s="298">
        <v>5</v>
      </c>
      <c r="M50" s="298">
        <v>0</v>
      </c>
      <c r="N50" s="298">
        <v>0</v>
      </c>
      <c r="O50" s="298">
        <f t="shared" si="2"/>
        <v>-5</v>
      </c>
      <c r="P50" s="432">
        <f t="shared" si="3"/>
        <v>0.75787502458828948</v>
      </c>
      <c r="Q50" s="429"/>
    </row>
    <row r="51" spans="4:17">
      <c r="D51" s="441" t="s">
        <v>452</v>
      </c>
      <c r="E51" s="441" t="s">
        <v>278</v>
      </c>
      <c r="F51" s="155" t="s">
        <v>402</v>
      </c>
      <c r="G51" s="442"/>
      <c r="H51" s="442"/>
      <c r="I51" s="442"/>
      <c r="J51" s="298">
        <v>15</v>
      </c>
      <c r="K51" s="298">
        <v>0</v>
      </c>
      <c r="L51" s="298">
        <v>5</v>
      </c>
      <c r="M51" s="298">
        <v>0</v>
      </c>
      <c r="N51" s="298">
        <v>0</v>
      </c>
      <c r="O51" s="298">
        <f t="shared" si="2"/>
        <v>-5</v>
      </c>
      <c r="P51" s="432">
        <f t="shared" si="3"/>
        <v>0.74301472998851925</v>
      </c>
      <c r="Q51" s="429"/>
    </row>
    <row r="52" spans="4:17">
      <c r="D52" s="159">
        <v>1</v>
      </c>
      <c r="E52" s="437">
        <f>P34</f>
        <v>5369.6789151310522</v>
      </c>
      <c r="F52" s="438"/>
      <c r="G52" s="16"/>
      <c r="H52" s="16"/>
      <c r="I52" s="16"/>
      <c r="J52" s="298">
        <v>16</v>
      </c>
      <c r="K52" s="298">
        <v>0</v>
      </c>
      <c r="L52" s="298">
        <v>5</v>
      </c>
      <c r="M52" s="298">
        <v>0</v>
      </c>
      <c r="N52" s="298">
        <v>0</v>
      </c>
      <c r="O52" s="298">
        <f t="shared" si="2"/>
        <v>-5</v>
      </c>
      <c r="P52" s="432">
        <f t="shared" si="3"/>
        <v>0.72844581371423445</v>
      </c>
      <c r="Q52" s="429"/>
    </row>
    <row r="53" spans="4:17">
      <c r="D53" s="159">
        <v>2</v>
      </c>
      <c r="E53" s="437">
        <f>P73</f>
        <v>7625.9002810732482</v>
      </c>
      <c r="F53" s="438"/>
      <c r="G53" s="16"/>
      <c r="H53" s="16"/>
      <c r="I53" s="16"/>
      <c r="J53" s="298">
        <v>17</v>
      </c>
      <c r="K53" s="298">
        <v>0</v>
      </c>
      <c r="L53" s="298">
        <v>5</v>
      </c>
      <c r="M53" s="298">
        <v>0</v>
      </c>
      <c r="N53" s="298">
        <v>0</v>
      </c>
      <c r="O53" s="298">
        <f t="shared" si="2"/>
        <v>-5</v>
      </c>
      <c r="P53" s="432">
        <f t="shared" si="3"/>
        <v>0.7141625624649357</v>
      </c>
      <c r="Q53" s="429"/>
    </row>
    <row r="54" spans="4:17">
      <c r="D54" s="159">
        <v>3</v>
      </c>
      <c r="E54" s="437">
        <f>P124</f>
        <v>17683.754351898431</v>
      </c>
      <c r="F54" s="166" t="s">
        <v>317</v>
      </c>
      <c r="G54" s="16"/>
      <c r="H54" s="16"/>
      <c r="I54" s="16"/>
      <c r="J54" s="298">
        <v>18</v>
      </c>
      <c r="K54" s="298">
        <v>0</v>
      </c>
      <c r="L54" s="298">
        <v>5</v>
      </c>
      <c r="M54" s="298">
        <v>0</v>
      </c>
      <c r="N54" s="298">
        <v>0</v>
      </c>
      <c r="O54" s="298">
        <f t="shared" si="2"/>
        <v>-5</v>
      </c>
      <c r="P54" s="432">
        <f t="shared" si="3"/>
        <v>0.7001593749656233</v>
      </c>
      <c r="Q54" s="429"/>
    </row>
    <row r="55" spans="4:17">
      <c r="D55" s="439">
        <v>4</v>
      </c>
      <c r="E55" s="440">
        <f>Q183</f>
        <v>17099.164561092341</v>
      </c>
      <c r="F55" s="153"/>
      <c r="G55" s="153"/>
      <c r="H55" s="153"/>
      <c r="I55" s="153"/>
      <c r="J55" s="298">
        <v>19</v>
      </c>
      <c r="K55" s="298">
        <v>0</v>
      </c>
      <c r="L55" s="298">
        <v>5</v>
      </c>
      <c r="M55" s="298">
        <v>0</v>
      </c>
      <c r="N55" s="298">
        <v>0</v>
      </c>
      <c r="O55" s="298">
        <f t="shared" si="2"/>
        <v>-5</v>
      </c>
      <c r="P55" s="432">
        <f t="shared" si="3"/>
        <v>0.68643075977021895</v>
      </c>
      <c r="Q55" s="429"/>
    </row>
    <row r="56" spans="4:17">
      <c r="J56" s="298">
        <v>20</v>
      </c>
      <c r="K56" s="298">
        <v>0</v>
      </c>
      <c r="L56" s="298">
        <v>5</v>
      </c>
      <c r="M56" s="298">
        <v>0</v>
      </c>
      <c r="N56" s="298">
        <v>0</v>
      </c>
      <c r="O56" s="298">
        <f t="shared" si="2"/>
        <v>-5</v>
      </c>
      <c r="P56" s="432">
        <f t="shared" si="3"/>
        <v>0.67297133310805779</v>
      </c>
      <c r="Q56" s="429"/>
    </row>
    <row r="57" spans="4:17">
      <c r="J57" s="298">
        <v>21</v>
      </c>
      <c r="K57" s="298">
        <v>0</v>
      </c>
      <c r="L57" s="298">
        <v>5</v>
      </c>
      <c r="M57" s="298">
        <v>0</v>
      </c>
      <c r="N57" s="298">
        <v>0</v>
      </c>
      <c r="O57" s="298">
        <f t="shared" si="2"/>
        <v>-5</v>
      </c>
      <c r="P57" s="432">
        <f t="shared" si="3"/>
        <v>0.65977581677260566</v>
      </c>
      <c r="Q57" s="429"/>
    </row>
    <row r="58" spans="4:17">
      <c r="J58" s="298">
        <v>22</v>
      </c>
      <c r="K58" s="298">
        <v>0</v>
      </c>
      <c r="L58" s="298">
        <v>5</v>
      </c>
      <c r="M58" s="298">
        <v>0</v>
      </c>
      <c r="N58" s="298">
        <v>0</v>
      </c>
      <c r="O58" s="298">
        <f t="shared" si="2"/>
        <v>-5</v>
      </c>
      <c r="P58" s="432">
        <f t="shared" si="3"/>
        <v>0.64683903605157411</v>
      </c>
      <c r="Q58" s="429"/>
    </row>
    <row r="59" spans="4:17">
      <c r="J59" s="298">
        <v>23</v>
      </c>
      <c r="K59" s="298">
        <v>0</v>
      </c>
      <c r="L59" s="298">
        <v>5</v>
      </c>
      <c r="M59" s="298">
        <v>0</v>
      </c>
      <c r="N59" s="298">
        <v>0</v>
      </c>
      <c r="O59" s="298">
        <f t="shared" si="2"/>
        <v>-5</v>
      </c>
      <c r="P59" s="432">
        <f t="shared" si="3"/>
        <v>0.63415591769762181</v>
      </c>
      <c r="Q59" s="429"/>
    </row>
    <row r="60" spans="4:17">
      <c r="J60" s="298">
        <v>24</v>
      </c>
      <c r="K60" s="298">
        <v>0</v>
      </c>
      <c r="L60" s="298">
        <v>5</v>
      </c>
      <c r="M60" s="298">
        <v>0</v>
      </c>
      <c r="N60" s="298">
        <v>0</v>
      </c>
      <c r="O60" s="298">
        <f t="shared" si="2"/>
        <v>-5</v>
      </c>
      <c r="P60" s="432">
        <f t="shared" si="3"/>
        <v>0.62172148793884485</v>
      </c>
      <c r="Q60" s="429"/>
    </row>
    <row r="61" spans="4:17">
      <c r="J61" s="298">
        <v>25</v>
      </c>
      <c r="K61" s="298">
        <v>0</v>
      </c>
      <c r="L61" s="298">
        <v>5</v>
      </c>
      <c r="M61" s="298">
        <v>0</v>
      </c>
      <c r="N61" s="298">
        <v>0</v>
      </c>
      <c r="O61" s="298">
        <f t="shared" si="2"/>
        <v>-5</v>
      </c>
      <c r="P61" s="432">
        <f t="shared" si="3"/>
        <v>0.60953087052827937</v>
      </c>
      <c r="Q61" s="429"/>
    </row>
    <row r="62" spans="4:17">
      <c r="J62" s="298">
        <v>26</v>
      </c>
      <c r="K62" s="298">
        <v>0</v>
      </c>
      <c r="L62" s="298">
        <v>5</v>
      </c>
      <c r="M62" s="298">
        <v>0</v>
      </c>
      <c r="N62" s="298">
        <v>0</v>
      </c>
      <c r="O62" s="298">
        <f t="shared" ref="O62:O71" si="4">M62-N62-L62-K62</f>
        <v>-5</v>
      </c>
      <c r="P62" s="432">
        <f t="shared" si="3"/>
        <v>0.59757928483164635</v>
      </c>
      <c r="Q62" s="429"/>
    </row>
    <row r="63" spans="4:17">
      <c r="J63" s="298">
        <v>27</v>
      </c>
      <c r="K63" s="298">
        <v>0</v>
      </c>
      <c r="L63" s="298">
        <v>5</v>
      </c>
      <c r="M63" s="298">
        <v>0</v>
      </c>
      <c r="N63" s="298">
        <v>0</v>
      </c>
      <c r="O63" s="298">
        <f t="shared" si="4"/>
        <v>-5</v>
      </c>
      <c r="P63" s="432">
        <f t="shared" si="3"/>
        <v>0.58586204395259456</v>
      </c>
      <c r="Q63" s="429"/>
    </row>
    <row r="64" spans="4:17">
      <c r="J64" s="298">
        <v>28</v>
      </c>
      <c r="K64" s="298">
        <v>0</v>
      </c>
      <c r="L64" s="298">
        <v>5</v>
      </c>
      <c r="M64" s="298">
        <v>0</v>
      </c>
      <c r="N64" s="298">
        <v>0</v>
      </c>
      <c r="O64" s="298">
        <f t="shared" si="4"/>
        <v>-5</v>
      </c>
      <c r="P64" s="432">
        <f t="shared" si="3"/>
        <v>0.57437455289470041</v>
      </c>
      <c r="Q64" s="429"/>
    </row>
    <row r="65" spans="10:22">
      <c r="J65" s="298">
        <v>29</v>
      </c>
      <c r="K65" s="298">
        <v>0</v>
      </c>
      <c r="L65" s="298">
        <v>5</v>
      </c>
      <c r="M65" s="298">
        <v>0</v>
      </c>
      <c r="N65" s="298">
        <v>0</v>
      </c>
      <c r="O65" s="298">
        <f t="shared" si="4"/>
        <v>-5</v>
      </c>
      <c r="P65" s="432">
        <f t="shared" si="3"/>
        <v>0.56311230675951029</v>
      </c>
      <c r="Q65" s="429"/>
    </row>
    <row r="66" spans="10:22">
      <c r="J66" s="298">
        <v>30</v>
      </c>
      <c r="K66" s="298">
        <v>0</v>
      </c>
      <c r="L66" s="298">
        <v>5</v>
      </c>
      <c r="M66" s="298">
        <v>0</v>
      </c>
      <c r="N66" s="298">
        <v>0</v>
      </c>
      <c r="O66" s="298">
        <f t="shared" si="4"/>
        <v>-5</v>
      </c>
      <c r="P66" s="432">
        <f t="shared" si="3"/>
        <v>0.55207088897991197</v>
      </c>
      <c r="Q66" s="429"/>
    </row>
    <row r="67" spans="10:22">
      <c r="J67" s="298">
        <v>31</v>
      </c>
      <c r="K67" s="298">
        <v>0</v>
      </c>
      <c r="L67" s="298">
        <v>5</v>
      </c>
      <c r="M67" s="298">
        <v>0</v>
      </c>
      <c r="N67" s="298">
        <v>0</v>
      </c>
      <c r="O67" s="298">
        <f t="shared" si="4"/>
        <v>-5</v>
      </c>
      <c r="P67" s="432">
        <f t="shared" si="3"/>
        <v>0.54124596958814919</v>
      </c>
      <c r="Q67" s="429"/>
    </row>
    <row r="68" spans="10:22">
      <c r="J68" s="298">
        <v>32</v>
      </c>
      <c r="K68" s="298">
        <v>0</v>
      </c>
      <c r="L68" s="298">
        <v>5</v>
      </c>
      <c r="M68" s="298">
        <v>0</v>
      </c>
      <c r="N68" s="298">
        <v>0</v>
      </c>
      <c r="O68" s="298">
        <f t="shared" si="4"/>
        <v>-5</v>
      </c>
      <c r="P68" s="432">
        <f t="shared" si="3"/>
        <v>0.53063330351779314</v>
      </c>
      <c r="Q68" s="429"/>
    </row>
    <row r="69" spans="10:22">
      <c r="J69" s="298">
        <v>33</v>
      </c>
      <c r="K69" s="298">
        <v>0</v>
      </c>
      <c r="L69" s="298">
        <v>5</v>
      </c>
      <c r="M69" s="298">
        <f>D56*E56+E57*D57</f>
        <v>0</v>
      </c>
      <c r="N69" s="298">
        <f>(D56+D57)*15</f>
        <v>0</v>
      </c>
      <c r="O69" s="298">
        <f t="shared" si="4"/>
        <v>-5</v>
      </c>
      <c r="P69" s="432">
        <f t="shared" si="3"/>
        <v>0.52022872893901284</v>
      </c>
      <c r="Q69" s="429"/>
    </row>
    <row r="70" spans="10:22">
      <c r="J70" s="298">
        <v>34</v>
      </c>
      <c r="K70" s="298">
        <v>0</v>
      </c>
      <c r="L70" s="298">
        <v>5</v>
      </c>
      <c r="M70" s="298">
        <f>D57*E57+E58*D58</f>
        <v>0</v>
      </c>
      <c r="N70" s="298">
        <f>(D57+D58)*15</f>
        <v>0</v>
      </c>
      <c r="O70" s="298">
        <f t="shared" si="4"/>
        <v>-5</v>
      </c>
      <c r="P70" s="432">
        <f t="shared" si="3"/>
        <v>0.51002816562648323</v>
      </c>
      <c r="Q70" s="429"/>
    </row>
    <row r="71" spans="10:22">
      <c r="J71" s="298">
        <v>35</v>
      </c>
      <c r="K71" s="298">
        <v>0</v>
      </c>
      <c r="L71" s="298">
        <v>5</v>
      </c>
      <c r="M71" s="298">
        <f>T40*U40</f>
        <v>15000</v>
      </c>
      <c r="N71" s="298">
        <f>T40*V40</f>
        <v>4500</v>
      </c>
      <c r="O71" s="298">
        <f t="shared" si="4"/>
        <v>10495</v>
      </c>
      <c r="P71" s="432">
        <f t="shared" si="3"/>
        <v>0.50002761335929735</v>
      </c>
      <c r="Q71" s="429"/>
    </row>
    <row r="72" spans="10:22">
      <c r="J72" s="298"/>
      <c r="K72" s="298"/>
      <c r="L72" s="298"/>
      <c r="M72" s="298"/>
      <c r="N72" s="298"/>
      <c r="O72" s="381" t="s">
        <v>276</v>
      </c>
      <c r="P72" s="383">
        <f>SUMPRODUCT(O37:O71,P37:P71)</f>
        <v>3812.7395638121975</v>
      </c>
      <c r="Q72" s="298"/>
    </row>
    <row r="73" spans="10:22">
      <c r="J73" s="298"/>
      <c r="K73" s="298"/>
      <c r="L73" s="298"/>
      <c r="M73" s="298"/>
      <c r="N73" s="298"/>
      <c r="O73" s="381" t="s">
        <v>278</v>
      </c>
      <c r="P73" s="383">
        <f>P72*(1+L3)^J71/((1+L3)^J71-1)</f>
        <v>7625.9002810732482</v>
      </c>
      <c r="Q73" s="298"/>
      <c r="R73" s="18"/>
    </row>
    <row r="74" spans="10:22">
      <c r="J74" s="298"/>
      <c r="K74" s="298"/>
      <c r="L74" s="298"/>
      <c r="M74" s="298"/>
      <c r="N74" s="298"/>
      <c r="O74" s="381"/>
      <c r="P74" s="430"/>
      <c r="Q74" s="298"/>
    </row>
    <row r="75" spans="10:22">
      <c r="S75" s="12"/>
      <c r="T75" s="12"/>
      <c r="U75" s="12"/>
      <c r="V75" s="12"/>
    </row>
    <row r="76" spans="10:22">
      <c r="J76" s="401" t="s">
        <v>350</v>
      </c>
      <c r="K76" s="400"/>
      <c r="L76" s="400"/>
      <c r="M76" s="400"/>
      <c r="N76" s="400"/>
      <c r="O76" s="400"/>
      <c r="P76" s="400"/>
      <c r="Q76" s="400"/>
      <c r="R76" s="400"/>
    </row>
    <row r="77" spans="10:22">
      <c r="J77" s="425" t="s">
        <v>311</v>
      </c>
      <c r="K77" s="425" t="s">
        <v>313</v>
      </c>
      <c r="L77" s="425" t="s">
        <v>312</v>
      </c>
      <c r="M77" s="425" t="s">
        <v>288</v>
      </c>
      <c r="N77" s="425" t="s">
        <v>454</v>
      </c>
      <c r="O77" s="425" t="s">
        <v>290</v>
      </c>
      <c r="P77" s="426" t="s">
        <v>421</v>
      </c>
    </row>
    <row r="78" spans="10:22">
      <c r="J78" s="305">
        <v>1</v>
      </c>
      <c r="K78" s="305">
        <v>0</v>
      </c>
      <c r="L78" s="305">
        <v>5</v>
      </c>
      <c r="M78" s="305">
        <v>0</v>
      </c>
      <c r="N78" s="305">
        <v>0</v>
      </c>
      <c r="O78" s="305">
        <f>M78-N78-L78-K78</f>
        <v>-5</v>
      </c>
      <c r="P78" s="371">
        <f>1/(1+L$3)^J78</f>
        <v>0.98039215686274506</v>
      </c>
      <c r="Q78" s="48"/>
    </row>
    <row r="79" spans="10:22">
      <c r="J79" s="305">
        <v>2</v>
      </c>
      <c r="K79" s="305">
        <v>0</v>
      </c>
      <c r="L79" s="305">
        <v>5</v>
      </c>
      <c r="M79" s="305">
        <v>0</v>
      </c>
      <c r="N79" s="305">
        <v>0</v>
      </c>
      <c r="O79" s="305">
        <f t="shared" ref="O79:O122" si="5">M79-N79-L79-K79</f>
        <v>-5</v>
      </c>
      <c r="P79" s="371">
        <f t="shared" ref="P79:P122" si="6">1/(1+L$3)^J79</f>
        <v>0.96116878123798544</v>
      </c>
      <c r="Q79" s="48"/>
      <c r="S79" s="304" t="s">
        <v>455</v>
      </c>
      <c r="T79" s="305"/>
      <c r="U79" s="305"/>
      <c r="V79" s="305"/>
    </row>
    <row r="80" spans="10:22">
      <c r="J80" s="305">
        <v>3</v>
      </c>
      <c r="K80" s="305">
        <v>0</v>
      </c>
      <c r="L80" s="305">
        <v>5</v>
      </c>
      <c r="M80" s="305">
        <v>0</v>
      </c>
      <c r="N80" s="305">
        <v>0</v>
      </c>
      <c r="O80" s="305">
        <f t="shared" si="5"/>
        <v>-5</v>
      </c>
      <c r="P80" s="371">
        <f t="shared" si="6"/>
        <v>0.94232233454704462</v>
      </c>
      <c r="Q80" s="48"/>
      <c r="S80" s="304" t="s">
        <v>456</v>
      </c>
      <c r="T80" s="305">
        <v>1600</v>
      </c>
      <c r="U80" s="305"/>
      <c r="V80" s="305"/>
    </row>
    <row r="81" spans="10:22">
      <c r="J81" s="305">
        <v>4</v>
      </c>
      <c r="K81" s="305">
        <v>0</v>
      </c>
      <c r="L81" s="305">
        <v>5</v>
      </c>
      <c r="M81" s="305">
        <v>0</v>
      </c>
      <c r="N81" s="305">
        <v>0</v>
      </c>
      <c r="O81" s="305">
        <f t="shared" si="5"/>
        <v>-5</v>
      </c>
      <c r="P81" s="371">
        <f t="shared" si="6"/>
        <v>0.9238454260265142</v>
      </c>
      <c r="Q81" s="48"/>
      <c r="S81" s="305"/>
      <c r="T81" s="425" t="s">
        <v>458</v>
      </c>
      <c r="U81" s="425" t="s">
        <v>459</v>
      </c>
      <c r="V81" s="425" t="s">
        <v>460</v>
      </c>
    </row>
    <row r="82" spans="10:22">
      <c r="J82" s="305">
        <v>5</v>
      </c>
      <c r="K82" s="305">
        <v>0</v>
      </c>
      <c r="L82" s="305">
        <v>5</v>
      </c>
      <c r="M82" s="305">
        <v>0</v>
      </c>
      <c r="N82" s="305">
        <v>0</v>
      </c>
      <c r="O82" s="305">
        <f t="shared" si="5"/>
        <v>-5</v>
      </c>
      <c r="P82" s="371">
        <f t="shared" si="6"/>
        <v>0.90573080982991594</v>
      </c>
      <c r="Q82" s="48"/>
      <c r="S82" s="304" t="s">
        <v>457</v>
      </c>
      <c r="T82" s="305">
        <v>40</v>
      </c>
      <c r="U82" s="305">
        <v>40</v>
      </c>
      <c r="V82" s="305">
        <v>15</v>
      </c>
    </row>
    <row r="83" spans="10:22">
      <c r="J83" s="305">
        <v>6</v>
      </c>
      <c r="K83" s="305">
        <v>0</v>
      </c>
      <c r="L83" s="305">
        <v>5</v>
      </c>
      <c r="M83" s="305">
        <v>0</v>
      </c>
      <c r="N83" s="305">
        <v>0</v>
      </c>
      <c r="O83" s="305">
        <f t="shared" si="5"/>
        <v>-5</v>
      </c>
      <c r="P83" s="371">
        <f t="shared" si="6"/>
        <v>0.88797138218619198</v>
      </c>
      <c r="Q83" s="48"/>
      <c r="S83" s="304" t="s">
        <v>461</v>
      </c>
      <c r="T83" s="305">
        <v>220</v>
      </c>
      <c r="U83" s="305">
        <v>140</v>
      </c>
      <c r="V83" s="305">
        <v>15</v>
      </c>
    </row>
    <row r="84" spans="10:22">
      <c r="J84" s="305">
        <v>7</v>
      </c>
      <c r="K84" s="305">
        <v>0</v>
      </c>
      <c r="L84" s="305">
        <v>5</v>
      </c>
      <c r="M84" s="305">
        <v>0</v>
      </c>
      <c r="N84" s="305">
        <v>0</v>
      </c>
      <c r="O84" s="305">
        <f t="shared" si="5"/>
        <v>-5</v>
      </c>
      <c r="P84" s="371">
        <f t="shared" si="6"/>
        <v>0.87056017861391388</v>
      </c>
      <c r="Q84" s="48"/>
    </row>
    <row r="85" spans="10:22">
      <c r="J85" s="305">
        <v>8</v>
      </c>
      <c r="K85" s="305">
        <v>0</v>
      </c>
      <c r="L85" s="305">
        <v>5</v>
      </c>
      <c r="M85" s="305">
        <v>0</v>
      </c>
      <c r="N85" s="305">
        <v>0</v>
      </c>
      <c r="O85" s="305">
        <f t="shared" si="5"/>
        <v>-5</v>
      </c>
      <c r="P85" s="371">
        <f t="shared" si="6"/>
        <v>0.85349037119011162</v>
      </c>
      <c r="Q85" s="48"/>
    </row>
    <row r="86" spans="10:22">
      <c r="J86" s="305">
        <v>9</v>
      </c>
      <c r="K86" s="305">
        <v>0</v>
      </c>
      <c r="L86" s="305">
        <v>5</v>
      </c>
      <c r="M86" s="305">
        <v>0</v>
      </c>
      <c r="N86" s="305">
        <v>0</v>
      </c>
      <c r="O86" s="305">
        <f t="shared" si="5"/>
        <v>-5</v>
      </c>
      <c r="P86" s="371">
        <f t="shared" si="6"/>
        <v>0.83675526587265847</v>
      </c>
      <c r="Q86" s="48"/>
    </row>
    <row r="87" spans="10:22">
      <c r="J87" s="305">
        <v>10</v>
      </c>
      <c r="K87" s="305">
        <v>1600</v>
      </c>
      <c r="L87" s="305">
        <v>5</v>
      </c>
      <c r="M87" s="305">
        <v>0</v>
      </c>
      <c r="N87" s="305">
        <v>0</v>
      </c>
      <c r="O87" s="305">
        <f t="shared" si="5"/>
        <v>-1605</v>
      </c>
      <c r="P87" s="371">
        <f t="shared" si="6"/>
        <v>0.82034829987515534</v>
      </c>
      <c r="Q87" s="48"/>
    </row>
    <row r="88" spans="10:22">
      <c r="J88" s="305">
        <v>11</v>
      </c>
      <c r="K88" s="305">
        <v>0</v>
      </c>
      <c r="L88" s="305">
        <v>5</v>
      </c>
      <c r="M88" s="305">
        <v>0</v>
      </c>
      <c r="N88" s="305">
        <v>0</v>
      </c>
      <c r="O88" s="305">
        <f t="shared" si="5"/>
        <v>-5</v>
      </c>
      <c r="P88" s="371">
        <f t="shared" si="6"/>
        <v>0.80426303909328967</v>
      </c>
      <c r="Q88" s="48"/>
    </row>
    <row r="89" spans="10:22">
      <c r="J89" s="305">
        <v>12</v>
      </c>
      <c r="K89" s="305">
        <v>0</v>
      </c>
      <c r="L89" s="305">
        <v>5</v>
      </c>
      <c r="M89" s="305">
        <v>0</v>
      </c>
      <c r="N89" s="305">
        <v>0</v>
      </c>
      <c r="O89" s="305">
        <f t="shared" si="5"/>
        <v>-5</v>
      </c>
      <c r="P89" s="371">
        <f t="shared" si="6"/>
        <v>0.78849317558165644</v>
      </c>
      <c r="Q89" s="48"/>
    </row>
    <row r="90" spans="10:22">
      <c r="J90" s="305">
        <v>13</v>
      </c>
      <c r="K90" s="305">
        <v>0</v>
      </c>
      <c r="L90" s="305">
        <v>5</v>
      </c>
      <c r="M90" s="305">
        <v>0</v>
      </c>
      <c r="N90" s="305">
        <v>0</v>
      </c>
      <c r="O90" s="305">
        <f t="shared" si="5"/>
        <v>-5</v>
      </c>
      <c r="P90" s="371">
        <f t="shared" si="6"/>
        <v>0.77303252508005538</v>
      </c>
      <c r="Q90" s="48"/>
    </row>
    <row r="91" spans="10:22">
      <c r="J91" s="305">
        <v>14</v>
      </c>
      <c r="K91" s="305">
        <v>0</v>
      </c>
      <c r="L91" s="305">
        <v>5</v>
      </c>
      <c r="M91" s="305">
        <v>0</v>
      </c>
      <c r="N91" s="305">
        <v>0</v>
      </c>
      <c r="O91" s="305">
        <f t="shared" si="5"/>
        <v>-5</v>
      </c>
      <c r="P91" s="371">
        <f t="shared" si="6"/>
        <v>0.75787502458828948</v>
      </c>
      <c r="Q91" s="48"/>
    </row>
    <row r="92" spans="10:22">
      <c r="J92" s="305">
        <v>15</v>
      </c>
      <c r="K92" s="305">
        <v>0</v>
      </c>
      <c r="L92" s="305">
        <v>5</v>
      </c>
      <c r="M92" s="305">
        <v>0</v>
      </c>
      <c r="N92" s="305">
        <v>0</v>
      </c>
      <c r="O92" s="305">
        <f t="shared" si="5"/>
        <v>-5</v>
      </c>
      <c r="P92" s="371">
        <f t="shared" si="6"/>
        <v>0.74301472998851925</v>
      </c>
      <c r="Q92" s="48"/>
    </row>
    <row r="93" spans="10:22">
      <c r="J93" s="305">
        <v>16</v>
      </c>
      <c r="K93" s="305">
        <v>0</v>
      </c>
      <c r="L93" s="305">
        <v>5</v>
      </c>
      <c r="M93" s="305">
        <v>0</v>
      </c>
      <c r="N93" s="305">
        <v>0</v>
      </c>
      <c r="O93" s="305">
        <f t="shared" si="5"/>
        <v>-5</v>
      </c>
      <c r="P93" s="371">
        <f t="shared" si="6"/>
        <v>0.72844581371423445</v>
      </c>
      <c r="Q93" s="48"/>
    </row>
    <row r="94" spans="10:22">
      <c r="J94" s="305">
        <v>17</v>
      </c>
      <c r="K94" s="305">
        <v>0</v>
      </c>
      <c r="L94" s="305">
        <v>5</v>
      </c>
      <c r="M94" s="305">
        <v>0</v>
      </c>
      <c r="N94" s="305">
        <v>0</v>
      </c>
      <c r="O94" s="305">
        <f t="shared" si="5"/>
        <v>-5</v>
      </c>
      <c r="P94" s="371">
        <f t="shared" si="6"/>
        <v>0.7141625624649357</v>
      </c>
      <c r="Q94" s="48"/>
    </row>
    <row r="95" spans="10:22">
      <c r="J95" s="305">
        <v>18</v>
      </c>
      <c r="K95" s="305">
        <v>0</v>
      </c>
      <c r="L95" s="305">
        <v>5</v>
      </c>
      <c r="M95" s="305">
        <v>0</v>
      </c>
      <c r="N95" s="305">
        <v>0</v>
      </c>
      <c r="O95" s="305">
        <f t="shared" si="5"/>
        <v>-5</v>
      </c>
      <c r="P95" s="371">
        <f t="shared" si="6"/>
        <v>0.7001593749656233</v>
      </c>
      <c r="Q95" s="48"/>
    </row>
    <row r="96" spans="10:22">
      <c r="J96" s="305">
        <v>19</v>
      </c>
      <c r="K96" s="305">
        <v>0</v>
      </c>
      <c r="L96" s="305">
        <v>5</v>
      </c>
      <c r="M96" s="305">
        <v>0</v>
      </c>
      <c r="N96" s="305">
        <v>0</v>
      </c>
      <c r="O96" s="305">
        <f t="shared" si="5"/>
        <v>-5</v>
      </c>
      <c r="P96" s="371">
        <f t="shared" si="6"/>
        <v>0.68643075977021895</v>
      </c>
      <c r="Q96" s="48"/>
    </row>
    <row r="97" spans="10:17">
      <c r="J97" s="305">
        <v>20</v>
      </c>
      <c r="K97" s="305">
        <v>0</v>
      </c>
      <c r="L97" s="305">
        <v>5</v>
      </c>
      <c r="M97" s="305">
        <v>0</v>
      </c>
      <c r="N97" s="305">
        <v>0</v>
      </c>
      <c r="O97" s="305">
        <f t="shared" si="5"/>
        <v>-5</v>
      </c>
      <c r="P97" s="371">
        <f t="shared" si="6"/>
        <v>0.67297133310805779</v>
      </c>
      <c r="Q97" s="48"/>
    </row>
    <row r="98" spans="10:17">
      <c r="J98" s="305">
        <v>21</v>
      </c>
      <c r="K98" s="305">
        <v>0</v>
      </c>
      <c r="L98" s="305">
        <v>5</v>
      </c>
      <c r="M98" s="305">
        <v>0</v>
      </c>
      <c r="N98" s="305">
        <v>0</v>
      </c>
      <c r="O98" s="305">
        <f t="shared" si="5"/>
        <v>-5</v>
      </c>
      <c r="P98" s="371">
        <f t="shared" si="6"/>
        <v>0.65977581677260566</v>
      </c>
      <c r="Q98" s="48"/>
    </row>
    <row r="99" spans="10:17">
      <c r="J99" s="305">
        <v>22</v>
      </c>
      <c r="K99" s="305">
        <v>0</v>
      </c>
      <c r="L99" s="305">
        <v>5</v>
      </c>
      <c r="M99" s="305">
        <v>0</v>
      </c>
      <c r="N99" s="305">
        <v>0</v>
      </c>
      <c r="O99" s="305">
        <f t="shared" si="5"/>
        <v>-5</v>
      </c>
      <c r="P99" s="371">
        <f t="shared" si="6"/>
        <v>0.64683903605157411</v>
      </c>
      <c r="Q99" s="48"/>
    </row>
    <row r="100" spans="10:17">
      <c r="J100" s="305">
        <v>23</v>
      </c>
      <c r="K100" s="305">
        <v>0</v>
      </c>
      <c r="L100" s="305">
        <v>5</v>
      </c>
      <c r="M100" s="305">
        <v>0</v>
      </c>
      <c r="N100" s="305">
        <v>0</v>
      </c>
      <c r="O100" s="305">
        <f t="shared" si="5"/>
        <v>-5</v>
      </c>
      <c r="P100" s="371">
        <f t="shared" si="6"/>
        <v>0.63415591769762181</v>
      </c>
      <c r="Q100" s="48"/>
    </row>
    <row r="101" spans="10:17">
      <c r="J101" s="305">
        <v>24</v>
      </c>
      <c r="K101" s="305">
        <v>0</v>
      </c>
      <c r="L101" s="305">
        <v>5</v>
      </c>
      <c r="M101" s="305">
        <v>0</v>
      </c>
      <c r="N101" s="305">
        <v>0</v>
      </c>
      <c r="O101" s="305">
        <f t="shared" si="5"/>
        <v>-5</v>
      </c>
      <c r="P101" s="371">
        <f t="shared" si="6"/>
        <v>0.62172148793884485</v>
      </c>
      <c r="Q101" s="48"/>
    </row>
    <row r="102" spans="10:17">
      <c r="J102" s="305">
        <v>25</v>
      </c>
      <c r="K102" s="305">
        <v>0</v>
      </c>
      <c r="L102" s="305">
        <v>5</v>
      </c>
      <c r="M102" s="304">
        <f>T82*U82</f>
        <v>1600</v>
      </c>
      <c r="N102" s="305">
        <f>T82*V82</f>
        <v>600</v>
      </c>
      <c r="O102" s="305">
        <f t="shared" si="5"/>
        <v>995</v>
      </c>
      <c r="P102" s="371">
        <f t="shared" si="6"/>
        <v>0.60953087052827937</v>
      </c>
      <c r="Q102" s="48"/>
    </row>
    <row r="103" spans="10:17">
      <c r="J103" s="305">
        <v>26</v>
      </c>
      <c r="K103" s="305">
        <v>0</v>
      </c>
      <c r="L103" s="305">
        <v>5</v>
      </c>
      <c r="M103" s="305">
        <f t="shared" ref="M103:M121" si="7">D90*E90+E91*D91</f>
        <v>0</v>
      </c>
      <c r="N103" s="305">
        <f t="shared" ref="N103:N121" si="8">(D90+D91)*15</f>
        <v>0</v>
      </c>
      <c r="O103" s="305">
        <f t="shared" si="5"/>
        <v>-5</v>
      </c>
      <c r="P103" s="371">
        <f t="shared" si="6"/>
        <v>0.59757928483164635</v>
      </c>
      <c r="Q103" s="48"/>
    </row>
    <row r="104" spans="10:17">
      <c r="J104" s="305">
        <v>27</v>
      </c>
      <c r="K104" s="305">
        <v>0</v>
      </c>
      <c r="L104" s="305">
        <v>5</v>
      </c>
      <c r="M104" s="305">
        <f t="shared" si="7"/>
        <v>0</v>
      </c>
      <c r="N104" s="305">
        <f t="shared" si="8"/>
        <v>0</v>
      </c>
      <c r="O104" s="305">
        <f t="shared" si="5"/>
        <v>-5</v>
      </c>
      <c r="P104" s="371">
        <f t="shared" si="6"/>
        <v>0.58586204395259456</v>
      </c>
      <c r="Q104" s="48"/>
    </row>
    <row r="105" spans="10:17">
      <c r="J105" s="305">
        <v>28</v>
      </c>
      <c r="K105" s="305">
        <v>0</v>
      </c>
      <c r="L105" s="305">
        <v>5</v>
      </c>
      <c r="M105" s="305">
        <f t="shared" si="7"/>
        <v>0</v>
      </c>
      <c r="N105" s="305">
        <f t="shared" si="8"/>
        <v>0</v>
      </c>
      <c r="O105" s="305">
        <f t="shared" si="5"/>
        <v>-5</v>
      </c>
      <c r="P105" s="371">
        <f t="shared" si="6"/>
        <v>0.57437455289470041</v>
      </c>
      <c r="Q105" s="48"/>
    </row>
    <row r="106" spans="10:17">
      <c r="J106" s="305">
        <v>29</v>
      </c>
      <c r="K106" s="305">
        <v>0</v>
      </c>
      <c r="L106" s="305">
        <v>5</v>
      </c>
      <c r="M106" s="305">
        <f t="shared" si="7"/>
        <v>0</v>
      </c>
      <c r="N106" s="305">
        <f t="shared" si="8"/>
        <v>0</v>
      </c>
      <c r="O106" s="305">
        <f t="shared" si="5"/>
        <v>-5</v>
      </c>
      <c r="P106" s="371">
        <f t="shared" si="6"/>
        <v>0.56311230675951029</v>
      </c>
      <c r="Q106" s="48"/>
    </row>
    <row r="107" spans="10:17">
      <c r="J107" s="305">
        <v>30</v>
      </c>
      <c r="K107" s="305">
        <v>0</v>
      </c>
      <c r="L107" s="305">
        <v>5</v>
      </c>
      <c r="M107" s="305">
        <f t="shared" si="7"/>
        <v>0</v>
      </c>
      <c r="N107" s="305">
        <f t="shared" si="8"/>
        <v>0</v>
      </c>
      <c r="O107" s="305">
        <f t="shared" si="5"/>
        <v>-5</v>
      </c>
      <c r="P107" s="371">
        <f t="shared" si="6"/>
        <v>0.55207088897991197</v>
      </c>
      <c r="Q107" s="48"/>
    </row>
    <row r="108" spans="10:17">
      <c r="J108" s="305">
        <v>31</v>
      </c>
      <c r="K108" s="305">
        <v>0</v>
      </c>
      <c r="L108" s="305">
        <v>5</v>
      </c>
      <c r="M108" s="305">
        <f t="shared" si="7"/>
        <v>0</v>
      </c>
      <c r="N108" s="305">
        <f t="shared" si="8"/>
        <v>0</v>
      </c>
      <c r="O108" s="305">
        <f t="shared" si="5"/>
        <v>-5</v>
      </c>
      <c r="P108" s="371">
        <f t="shared" si="6"/>
        <v>0.54124596958814919</v>
      </c>
      <c r="Q108" s="48"/>
    </row>
    <row r="109" spans="10:17">
      <c r="J109" s="305">
        <v>32</v>
      </c>
      <c r="K109" s="305">
        <v>0</v>
      </c>
      <c r="L109" s="305">
        <v>5</v>
      </c>
      <c r="M109" s="305">
        <f t="shared" si="7"/>
        <v>0</v>
      </c>
      <c r="N109" s="305">
        <f t="shared" si="8"/>
        <v>0</v>
      </c>
      <c r="O109" s="305">
        <f t="shared" si="5"/>
        <v>-5</v>
      </c>
      <c r="P109" s="371">
        <f t="shared" si="6"/>
        <v>0.53063330351779314</v>
      </c>
      <c r="Q109" s="48"/>
    </row>
    <row r="110" spans="10:17">
      <c r="J110" s="305">
        <v>33</v>
      </c>
      <c r="K110" s="305">
        <v>0</v>
      </c>
      <c r="L110" s="305">
        <v>5</v>
      </c>
      <c r="M110" s="305">
        <f t="shared" si="7"/>
        <v>0</v>
      </c>
      <c r="N110" s="305">
        <f t="shared" si="8"/>
        <v>0</v>
      </c>
      <c r="O110" s="305">
        <f t="shared" si="5"/>
        <v>-5</v>
      </c>
      <c r="P110" s="371">
        <f t="shared" si="6"/>
        <v>0.52022872893901284</v>
      </c>
      <c r="Q110" s="48"/>
    </row>
    <row r="111" spans="10:17">
      <c r="J111" s="305">
        <v>34</v>
      </c>
      <c r="K111" s="305">
        <v>0</v>
      </c>
      <c r="L111" s="305">
        <v>5</v>
      </c>
      <c r="M111" s="305">
        <f t="shared" si="7"/>
        <v>0</v>
      </c>
      <c r="N111" s="305">
        <f t="shared" si="8"/>
        <v>0</v>
      </c>
      <c r="O111" s="305">
        <f t="shared" si="5"/>
        <v>-5</v>
      </c>
      <c r="P111" s="371">
        <f t="shared" si="6"/>
        <v>0.51002816562648323</v>
      </c>
      <c r="Q111" s="48"/>
    </row>
    <row r="112" spans="10:17">
      <c r="J112" s="305">
        <v>35</v>
      </c>
      <c r="K112" s="305">
        <v>0</v>
      </c>
      <c r="L112" s="305">
        <v>5</v>
      </c>
      <c r="M112" s="305">
        <f t="shared" si="7"/>
        <v>0</v>
      </c>
      <c r="N112" s="305">
        <f t="shared" si="8"/>
        <v>0</v>
      </c>
      <c r="O112" s="305">
        <f t="shared" si="5"/>
        <v>-5</v>
      </c>
      <c r="P112" s="371">
        <f t="shared" si="6"/>
        <v>0.50002761335929735</v>
      </c>
      <c r="Q112" s="48"/>
    </row>
    <row r="113" spans="10:18">
      <c r="J113" s="305">
        <v>36</v>
      </c>
      <c r="K113" s="305">
        <v>0</v>
      </c>
      <c r="L113" s="305">
        <v>5</v>
      </c>
      <c r="M113" s="305">
        <f t="shared" si="7"/>
        <v>0</v>
      </c>
      <c r="N113" s="305">
        <f t="shared" si="8"/>
        <v>0</v>
      </c>
      <c r="O113" s="305">
        <f t="shared" si="5"/>
        <v>-5</v>
      </c>
      <c r="P113" s="371">
        <f t="shared" si="6"/>
        <v>0.49022315035225233</v>
      </c>
      <c r="Q113" s="48"/>
    </row>
    <row r="114" spans="10:18">
      <c r="J114" s="305">
        <v>37</v>
      </c>
      <c r="K114" s="305">
        <v>0</v>
      </c>
      <c r="L114" s="305">
        <v>5</v>
      </c>
      <c r="M114" s="305">
        <f t="shared" si="7"/>
        <v>0</v>
      </c>
      <c r="N114" s="305">
        <f t="shared" si="8"/>
        <v>0</v>
      </c>
      <c r="O114" s="305">
        <f t="shared" si="5"/>
        <v>-5</v>
      </c>
      <c r="P114" s="371">
        <f t="shared" si="6"/>
        <v>0.48061093171789437</v>
      </c>
      <c r="Q114" s="48"/>
    </row>
    <row r="115" spans="10:18">
      <c r="J115" s="305">
        <v>38</v>
      </c>
      <c r="K115" s="305">
        <v>0</v>
      </c>
      <c r="L115" s="305">
        <v>5</v>
      </c>
      <c r="M115" s="305">
        <f t="shared" si="7"/>
        <v>0</v>
      </c>
      <c r="N115" s="305">
        <f t="shared" si="8"/>
        <v>0</v>
      </c>
      <c r="O115" s="305">
        <f t="shared" si="5"/>
        <v>-5</v>
      </c>
      <c r="P115" s="371">
        <f t="shared" si="6"/>
        <v>0.47118718795871989</v>
      </c>
      <c r="Q115" s="48"/>
    </row>
    <row r="116" spans="10:18">
      <c r="J116" s="305">
        <v>39</v>
      </c>
      <c r="K116" s="305">
        <v>0</v>
      </c>
      <c r="L116" s="305">
        <v>5</v>
      </c>
      <c r="M116" s="305">
        <f t="shared" si="7"/>
        <v>0</v>
      </c>
      <c r="N116" s="305">
        <f t="shared" si="8"/>
        <v>0</v>
      </c>
      <c r="O116" s="305">
        <f t="shared" si="5"/>
        <v>-5</v>
      </c>
      <c r="P116" s="371">
        <f t="shared" si="6"/>
        <v>0.46194822348894127</v>
      </c>
      <c r="Q116" s="48"/>
    </row>
    <row r="117" spans="10:18">
      <c r="J117" s="305">
        <v>40</v>
      </c>
      <c r="K117" s="305">
        <v>0</v>
      </c>
      <c r="L117" s="305">
        <v>5</v>
      </c>
      <c r="M117" s="305">
        <f t="shared" si="7"/>
        <v>0</v>
      </c>
      <c r="N117" s="305">
        <f t="shared" si="8"/>
        <v>0</v>
      </c>
      <c r="O117" s="305">
        <f t="shared" si="5"/>
        <v>-5</v>
      </c>
      <c r="P117" s="371">
        <f t="shared" si="6"/>
        <v>0.45289041518523643</v>
      </c>
      <c r="Q117" s="48"/>
    </row>
    <row r="118" spans="10:18">
      <c r="J118" s="305">
        <v>41</v>
      </c>
      <c r="K118" s="305">
        <v>0</v>
      </c>
      <c r="L118" s="305">
        <v>5</v>
      </c>
      <c r="M118" s="305">
        <f t="shared" si="7"/>
        <v>0</v>
      </c>
      <c r="N118" s="305">
        <f t="shared" si="8"/>
        <v>0</v>
      </c>
      <c r="O118" s="305">
        <f t="shared" si="5"/>
        <v>-5</v>
      </c>
      <c r="P118" s="371">
        <f t="shared" si="6"/>
        <v>0.44401021096591808</v>
      </c>
      <c r="Q118" s="48"/>
    </row>
    <row r="119" spans="10:18">
      <c r="J119" s="305">
        <v>42</v>
      </c>
      <c r="K119" s="305">
        <v>0</v>
      </c>
      <c r="L119" s="305">
        <v>5</v>
      </c>
      <c r="M119" s="305">
        <f t="shared" si="7"/>
        <v>0</v>
      </c>
      <c r="N119" s="305">
        <f t="shared" si="8"/>
        <v>0</v>
      </c>
      <c r="O119" s="305">
        <f t="shared" si="5"/>
        <v>-5</v>
      </c>
      <c r="P119" s="371">
        <f t="shared" si="6"/>
        <v>0.4353041283979589</v>
      </c>
      <c r="Q119" s="48"/>
    </row>
    <row r="120" spans="10:18">
      <c r="J120" s="305">
        <v>43</v>
      </c>
      <c r="K120" s="305">
        <v>0</v>
      </c>
      <c r="L120" s="305">
        <v>5</v>
      </c>
      <c r="M120" s="305">
        <f t="shared" si="7"/>
        <v>0</v>
      </c>
      <c r="N120" s="305">
        <f t="shared" si="8"/>
        <v>0</v>
      </c>
      <c r="O120" s="305">
        <f t="shared" si="5"/>
        <v>-5</v>
      </c>
      <c r="P120" s="371">
        <f t="shared" si="6"/>
        <v>0.4267687533313323</v>
      </c>
      <c r="Q120" s="48"/>
    </row>
    <row r="121" spans="10:18">
      <c r="J121" s="305">
        <v>44</v>
      </c>
      <c r="K121" s="305">
        <v>0</v>
      </c>
      <c r="L121" s="305">
        <v>5</v>
      </c>
      <c r="M121" s="305">
        <f t="shared" si="7"/>
        <v>0</v>
      </c>
      <c r="N121" s="305">
        <f t="shared" si="8"/>
        <v>0</v>
      </c>
      <c r="O121" s="305">
        <f t="shared" si="5"/>
        <v>-5</v>
      </c>
      <c r="P121" s="371">
        <f t="shared" si="6"/>
        <v>0.41840073856012966</v>
      </c>
      <c r="Q121" s="48"/>
    </row>
    <row r="122" spans="10:18">
      <c r="J122" s="305">
        <v>45</v>
      </c>
      <c r="K122" s="305">
        <v>0</v>
      </c>
      <c r="L122" s="305">
        <v>5</v>
      </c>
      <c r="M122" s="305">
        <f>T83*U83</f>
        <v>30800</v>
      </c>
      <c r="N122" s="305">
        <f>T83*V83</f>
        <v>3300</v>
      </c>
      <c r="O122" s="305">
        <f t="shared" si="5"/>
        <v>27495</v>
      </c>
      <c r="P122" s="371">
        <f t="shared" si="6"/>
        <v>0.41019680250993107</v>
      </c>
      <c r="Q122" s="48"/>
    </row>
    <row r="123" spans="10:18">
      <c r="J123" s="305"/>
      <c r="K123" s="305"/>
      <c r="L123" s="305"/>
      <c r="M123" s="305"/>
      <c r="N123" s="305"/>
      <c r="O123" s="370" t="s">
        <v>276</v>
      </c>
      <c r="P123" s="372">
        <f>SUMPRODUCT(O78:O122,P78:P122)</f>
        <v>10429.934860378617</v>
      </c>
    </row>
    <row r="124" spans="10:18">
      <c r="J124" s="305"/>
      <c r="K124" s="305"/>
      <c r="L124" s="305"/>
      <c r="M124" s="305"/>
      <c r="N124" s="305"/>
      <c r="O124" s="370" t="s">
        <v>278</v>
      </c>
      <c r="P124" s="372">
        <f>P123*(1+L3)^J122/((1+L3)^J122-1)</f>
        <v>17683.754351898431</v>
      </c>
      <c r="R124" s="18"/>
    </row>
    <row r="125" spans="10:18">
      <c r="O125" s="2"/>
      <c r="P125" s="171"/>
    </row>
    <row r="129" spans="3:19">
      <c r="J129" s="262" t="s">
        <v>352</v>
      </c>
      <c r="K129" s="263"/>
      <c r="L129" s="263"/>
      <c r="M129" s="263"/>
      <c r="N129" s="263"/>
      <c r="O129" s="263"/>
      <c r="P129" s="263"/>
      <c r="Q129" s="263"/>
      <c r="R129" s="263"/>
      <c r="S129" s="263"/>
    </row>
    <row r="130" spans="3:19">
      <c r="D130" s="16"/>
      <c r="E130" s="16"/>
      <c r="F130" s="16"/>
      <c r="G130" s="16"/>
      <c r="H130" s="16"/>
      <c r="J130" s="433" t="s">
        <v>311</v>
      </c>
      <c r="K130" s="433" t="s">
        <v>313</v>
      </c>
      <c r="L130" s="433" t="s">
        <v>312</v>
      </c>
      <c r="M130" s="433" t="s">
        <v>316</v>
      </c>
      <c r="N130" s="433" t="s">
        <v>288</v>
      </c>
      <c r="O130" s="433" t="s">
        <v>454</v>
      </c>
      <c r="P130" s="433" t="s">
        <v>290</v>
      </c>
      <c r="Q130" s="434" t="s">
        <v>421</v>
      </c>
    </row>
    <row r="131" spans="3:19">
      <c r="C131" s="16"/>
      <c r="D131" s="16"/>
      <c r="E131" s="16"/>
      <c r="F131" s="16"/>
      <c r="G131" s="16"/>
      <c r="H131" s="16"/>
      <c r="J131" s="303">
        <v>0</v>
      </c>
      <c r="K131" s="303">
        <v>500</v>
      </c>
      <c r="L131" s="303">
        <v>0</v>
      </c>
      <c r="M131" s="302"/>
      <c r="N131" s="303">
        <v>0</v>
      </c>
      <c r="O131" s="303">
        <v>0</v>
      </c>
      <c r="P131" s="302">
        <f t="shared" ref="P131:P161" si="9">N131-O131-L131-K131</f>
        <v>-500</v>
      </c>
      <c r="Q131" s="435">
        <f>1/(1+L$3)^J131</f>
        <v>1</v>
      </c>
      <c r="R131" s="18"/>
    </row>
    <row r="132" spans="3:19">
      <c r="C132" s="16"/>
      <c r="D132" s="16"/>
      <c r="E132" s="16"/>
      <c r="F132" s="16"/>
      <c r="G132" s="16"/>
      <c r="H132" s="16"/>
      <c r="J132" s="302">
        <v>1</v>
      </c>
      <c r="K132" s="303">
        <f>900*0.6</f>
        <v>540</v>
      </c>
      <c r="L132" s="303">
        <v>0</v>
      </c>
      <c r="M132" s="302"/>
      <c r="N132" s="302">
        <v>0</v>
      </c>
      <c r="O132" s="302">
        <v>0</v>
      </c>
      <c r="P132" s="302">
        <f t="shared" si="9"/>
        <v>-540</v>
      </c>
      <c r="Q132" s="435">
        <f t="shared" ref="Q132:Q181" si="10">1/(1+L$3)^J132</f>
        <v>0.98039215686274506</v>
      </c>
      <c r="R132" s="48"/>
    </row>
    <row r="133" spans="3:19">
      <c r="C133" s="16"/>
      <c r="D133" s="16"/>
      <c r="E133" s="16"/>
      <c r="F133" s="16"/>
      <c r="G133" s="16"/>
      <c r="H133" s="16"/>
      <c r="J133" s="302">
        <v>2</v>
      </c>
      <c r="K133" s="302">
        <v>120</v>
      </c>
      <c r="L133" s="303">
        <v>0</v>
      </c>
      <c r="M133" s="302"/>
      <c r="N133" s="302">
        <v>0</v>
      </c>
      <c r="O133" s="302">
        <v>0</v>
      </c>
      <c r="P133" s="302">
        <f t="shared" si="9"/>
        <v>-120</v>
      </c>
      <c r="Q133" s="435">
        <f t="shared" si="10"/>
        <v>0.96116878123798544</v>
      </c>
      <c r="R133" s="48"/>
    </row>
    <row r="134" spans="3:19">
      <c r="C134" s="16"/>
      <c r="D134" s="21"/>
      <c r="E134" s="21"/>
      <c r="F134" s="21"/>
      <c r="G134" s="21"/>
      <c r="H134" s="21"/>
      <c r="J134" s="302">
        <v>3</v>
      </c>
      <c r="K134" s="302">
        <v>250</v>
      </c>
      <c r="L134" s="303">
        <v>0</v>
      </c>
      <c r="M134" s="302"/>
      <c r="N134" s="302">
        <v>0</v>
      </c>
      <c r="O134" s="302">
        <v>0</v>
      </c>
      <c r="P134" s="302">
        <f t="shared" si="9"/>
        <v>-250</v>
      </c>
      <c r="Q134" s="435">
        <f t="shared" si="10"/>
        <v>0.94232233454704462</v>
      </c>
      <c r="R134" s="48"/>
    </row>
    <row r="135" spans="3:19">
      <c r="C135" s="16"/>
      <c r="D135" s="21"/>
      <c r="E135" s="21"/>
      <c r="F135" s="21"/>
      <c r="G135" s="21"/>
      <c r="H135" s="21"/>
      <c r="J135" s="302">
        <v>4</v>
      </c>
      <c r="K135" s="302">
        <v>0</v>
      </c>
      <c r="L135" s="303">
        <v>0</v>
      </c>
      <c r="M135" s="302"/>
      <c r="N135" s="302">
        <v>0</v>
      </c>
      <c r="O135" s="302">
        <v>0</v>
      </c>
      <c r="P135" s="302">
        <f t="shared" si="9"/>
        <v>0</v>
      </c>
      <c r="Q135" s="435">
        <f t="shared" si="10"/>
        <v>0.9238454260265142</v>
      </c>
      <c r="R135" s="48"/>
    </row>
    <row r="136" spans="3:19">
      <c r="C136" s="16"/>
      <c r="D136" s="21"/>
      <c r="E136" s="21"/>
      <c r="F136" s="21"/>
      <c r="G136" s="21"/>
      <c r="H136" s="21"/>
      <c r="J136" s="302">
        <v>5</v>
      </c>
      <c r="K136" s="302">
        <v>120</v>
      </c>
      <c r="L136" s="303">
        <v>0</v>
      </c>
      <c r="M136" s="302"/>
      <c r="N136" s="302">
        <v>0</v>
      </c>
      <c r="O136" s="302">
        <v>0</v>
      </c>
      <c r="P136" s="302">
        <f t="shared" si="9"/>
        <v>-120</v>
      </c>
      <c r="Q136" s="435">
        <f t="shared" si="10"/>
        <v>0.90573080982991594</v>
      </c>
      <c r="R136" s="48"/>
    </row>
    <row r="137" spans="3:19">
      <c r="C137" s="16"/>
      <c r="D137" s="21"/>
      <c r="E137" s="21"/>
      <c r="F137" s="21"/>
      <c r="G137" s="21"/>
      <c r="H137" s="21"/>
      <c r="J137" s="302">
        <v>6</v>
      </c>
      <c r="K137" s="302">
        <v>0</v>
      </c>
      <c r="L137" s="303">
        <v>0</v>
      </c>
      <c r="M137" s="302"/>
      <c r="N137" s="302">
        <v>0</v>
      </c>
      <c r="O137" s="302">
        <v>0</v>
      </c>
      <c r="P137" s="302">
        <f t="shared" si="9"/>
        <v>0</v>
      </c>
      <c r="Q137" s="435">
        <f t="shared" si="10"/>
        <v>0.88797138218619198</v>
      </c>
      <c r="R137" s="48"/>
    </row>
    <row r="138" spans="3:19">
      <c r="C138" s="16"/>
      <c r="D138" s="21"/>
      <c r="E138" s="21"/>
      <c r="F138" s="21"/>
      <c r="G138" s="21"/>
      <c r="H138" s="21"/>
      <c r="J138" s="302">
        <v>7</v>
      </c>
      <c r="K138" s="302">
        <v>0</v>
      </c>
      <c r="L138" s="303">
        <v>0</v>
      </c>
      <c r="M138" s="302"/>
      <c r="N138" s="302">
        <v>0</v>
      </c>
      <c r="O138" s="302">
        <v>0</v>
      </c>
      <c r="P138" s="302">
        <f t="shared" si="9"/>
        <v>0</v>
      </c>
      <c r="Q138" s="435">
        <f t="shared" si="10"/>
        <v>0.87056017861391388</v>
      </c>
      <c r="R138" s="48"/>
    </row>
    <row r="139" spans="3:19">
      <c r="C139" s="16"/>
      <c r="D139" s="21"/>
      <c r="E139" s="21"/>
      <c r="F139" s="21"/>
      <c r="G139" s="21"/>
      <c r="H139" s="21"/>
      <c r="J139" s="302">
        <v>8</v>
      </c>
      <c r="K139" s="302">
        <v>0</v>
      </c>
      <c r="L139" s="303">
        <v>0</v>
      </c>
      <c r="M139" s="302"/>
      <c r="N139" s="302">
        <v>0</v>
      </c>
      <c r="O139" s="302">
        <v>0</v>
      </c>
      <c r="P139" s="302">
        <f t="shared" si="9"/>
        <v>0</v>
      </c>
      <c r="Q139" s="435">
        <f t="shared" si="10"/>
        <v>0.85349037119011162</v>
      </c>
      <c r="R139" s="48"/>
    </row>
    <row r="140" spans="3:19">
      <c r="C140" s="16"/>
      <c r="D140" s="21"/>
      <c r="E140" s="21"/>
      <c r="F140" s="21"/>
      <c r="G140" s="21"/>
      <c r="H140" s="21"/>
      <c r="J140" s="302">
        <v>9</v>
      </c>
      <c r="K140" s="302">
        <v>0</v>
      </c>
      <c r="L140" s="303">
        <v>0</v>
      </c>
      <c r="M140" s="302"/>
      <c r="N140" s="302">
        <v>0</v>
      </c>
      <c r="O140" s="302">
        <v>0</v>
      </c>
      <c r="P140" s="302">
        <f t="shared" si="9"/>
        <v>0</v>
      </c>
      <c r="Q140" s="435">
        <f t="shared" si="10"/>
        <v>0.83675526587265847</v>
      </c>
      <c r="R140" s="48"/>
    </row>
    <row r="141" spans="3:19">
      <c r="C141" s="16"/>
      <c r="D141" s="21"/>
      <c r="E141" s="21"/>
      <c r="F141" s="21"/>
      <c r="G141" s="21"/>
      <c r="H141" s="21"/>
      <c r="J141" s="302">
        <v>10</v>
      </c>
      <c r="K141" s="303">
        <f>250*0.6</f>
        <v>150</v>
      </c>
      <c r="L141" s="303">
        <v>0</v>
      </c>
      <c r="M141" s="302">
        <v>60</v>
      </c>
      <c r="N141" s="302">
        <v>0</v>
      </c>
      <c r="O141" s="302">
        <v>0</v>
      </c>
      <c r="P141" s="302">
        <f t="shared" si="9"/>
        <v>-150</v>
      </c>
      <c r="Q141" s="435">
        <f t="shared" si="10"/>
        <v>0.82034829987515534</v>
      </c>
      <c r="R141" s="48"/>
    </row>
    <row r="142" spans="3:19">
      <c r="C142" s="16"/>
      <c r="D142" s="21"/>
      <c r="E142" s="21"/>
      <c r="F142" s="21"/>
      <c r="G142" s="21"/>
      <c r="H142" s="21"/>
      <c r="J142" s="302">
        <v>11</v>
      </c>
      <c r="K142" s="302">
        <v>0</v>
      </c>
      <c r="L142" s="303">
        <v>0</v>
      </c>
      <c r="M142" s="302"/>
      <c r="N142" s="302">
        <v>0</v>
      </c>
      <c r="O142" s="302">
        <v>0</v>
      </c>
      <c r="P142" s="302">
        <f t="shared" si="9"/>
        <v>0</v>
      </c>
      <c r="Q142" s="435">
        <f t="shared" si="10"/>
        <v>0.80426303909328967</v>
      </c>
      <c r="R142" s="48"/>
    </row>
    <row r="143" spans="3:19">
      <c r="C143" s="16"/>
      <c r="D143" s="21"/>
      <c r="E143" s="21"/>
      <c r="F143" s="21"/>
      <c r="G143" s="21"/>
      <c r="H143" s="21"/>
      <c r="J143" s="302">
        <v>12</v>
      </c>
      <c r="K143" s="302">
        <v>0</v>
      </c>
      <c r="L143" s="303">
        <v>0</v>
      </c>
      <c r="M143" s="302"/>
      <c r="N143" s="302">
        <v>0</v>
      </c>
      <c r="O143" s="302">
        <v>0</v>
      </c>
      <c r="P143" s="302">
        <f t="shared" si="9"/>
        <v>0</v>
      </c>
      <c r="Q143" s="435">
        <f t="shared" si="10"/>
        <v>0.78849317558165644</v>
      </c>
      <c r="R143" s="48"/>
    </row>
    <row r="144" spans="3:19">
      <c r="C144" s="16"/>
      <c r="D144" s="21"/>
      <c r="E144" s="21"/>
      <c r="F144" s="21"/>
      <c r="G144" s="21"/>
      <c r="H144" s="21"/>
      <c r="J144" s="302">
        <v>13</v>
      </c>
      <c r="K144" s="302">
        <v>0</v>
      </c>
      <c r="L144" s="303">
        <v>0</v>
      </c>
      <c r="M144" s="302"/>
      <c r="N144" s="302">
        <v>0</v>
      </c>
      <c r="O144" s="302">
        <v>0</v>
      </c>
      <c r="P144" s="302">
        <f t="shared" si="9"/>
        <v>0</v>
      </c>
      <c r="Q144" s="435">
        <f t="shared" si="10"/>
        <v>0.77303252508005538</v>
      </c>
      <c r="R144" s="48"/>
    </row>
    <row r="145" spans="3:18">
      <c r="C145" s="16"/>
      <c r="D145" s="21"/>
      <c r="E145" s="21"/>
      <c r="F145" s="21"/>
      <c r="G145" s="21"/>
      <c r="H145" s="21"/>
      <c r="J145" s="302">
        <v>14</v>
      </c>
      <c r="K145" s="302">
        <v>0</v>
      </c>
      <c r="L145" s="303">
        <v>0</v>
      </c>
      <c r="M145" s="302"/>
      <c r="N145" s="302">
        <v>0</v>
      </c>
      <c r="O145" s="302">
        <v>0</v>
      </c>
      <c r="P145" s="302">
        <f t="shared" si="9"/>
        <v>0</v>
      </c>
      <c r="Q145" s="435">
        <f t="shared" si="10"/>
        <v>0.75787502458828948</v>
      </c>
      <c r="R145" s="48"/>
    </row>
    <row r="146" spans="3:18">
      <c r="C146" s="16"/>
      <c r="D146" s="16"/>
      <c r="E146" s="16"/>
      <c r="F146" s="16"/>
      <c r="G146" s="16"/>
      <c r="H146" s="16"/>
      <c r="J146" s="302">
        <v>15</v>
      </c>
      <c r="K146" s="302">
        <v>0</v>
      </c>
      <c r="L146" s="303">
        <v>0</v>
      </c>
      <c r="M146" s="302"/>
      <c r="N146" s="302">
        <v>0</v>
      </c>
      <c r="O146" s="302">
        <v>0</v>
      </c>
      <c r="P146" s="302">
        <f t="shared" si="9"/>
        <v>0</v>
      </c>
      <c r="Q146" s="435">
        <f t="shared" si="10"/>
        <v>0.74301472998851925</v>
      </c>
      <c r="R146" s="48"/>
    </row>
    <row r="147" spans="3:18">
      <c r="C147" s="16"/>
      <c r="D147" s="16"/>
      <c r="E147" s="16"/>
      <c r="F147" s="16"/>
      <c r="G147" s="16"/>
      <c r="H147" s="16"/>
      <c r="J147" s="302">
        <v>16</v>
      </c>
      <c r="K147" s="302">
        <v>0</v>
      </c>
      <c r="L147" s="303">
        <v>0</v>
      </c>
      <c r="M147" s="302"/>
      <c r="N147" s="302">
        <v>0</v>
      </c>
      <c r="O147" s="302">
        <v>0</v>
      </c>
      <c r="P147" s="302">
        <f t="shared" si="9"/>
        <v>0</v>
      </c>
      <c r="Q147" s="435">
        <f t="shared" si="10"/>
        <v>0.72844581371423445</v>
      </c>
      <c r="R147" s="48"/>
    </row>
    <row r="148" spans="3:18">
      <c r="C148" s="16"/>
      <c r="D148" s="16"/>
      <c r="E148" s="16"/>
      <c r="F148" s="16"/>
      <c r="G148" s="16"/>
      <c r="H148" s="16"/>
      <c r="J148" s="302">
        <v>17</v>
      </c>
      <c r="K148" s="302">
        <f>250*2.5*0.6</f>
        <v>375</v>
      </c>
      <c r="L148" s="303">
        <v>0</v>
      </c>
      <c r="M148" s="303">
        <v>90</v>
      </c>
      <c r="N148" s="302">
        <f>M148*8</f>
        <v>720</v>
      </c>
      <c r="O148" s="302">
        <v>0</v>
      </c>
      <c r="P148" s="302">
        <f t="shared" si="9"/>
        <v>345</v>
      </c>
      <c r="Q148" s="435">
        <f t="shared" si="10"/>
        <v>0.7141625624649357</v>
      </c>
      <c r="R148" s="48"/>
    </row>
    <row r="149" spans="3:18">
      <c r="C149" s="16"/>
      <c r="D149" s="16"/>
      <c r="E149" s="16"/>
      <c r="F149" s="16"/>
      <c r="G149" s="16"/>
      <c r="H149" s="16"/>
      <c r="J149" s="302">
        <v>18</v>
      </c>
      <c r="K149" s="302">
        <v>0</v>
      </c>
      <c r="L149" s="303">
        <v>0</v>
      </c>
      <c r="M149" s="302"/>
      <c r="N149" s="302">
        <v>0</v>
      </c>
      <c r="O149" s="302">
        <v>0</v>
      </c>
      <c r="P149" s="302">
        <f t="shared" si="9"/>
        <v>0</v>
      </c>
      <c r="Q149" s="435">
        <f t="shared" si="10"/>
        <v>0.7001593749656233</v>
      </c>
      <c r="R149" s="48"/>
    </row>
    <row r="150" spans="3:18">
      <c r="C150" s="16"/>
      <c r="D150" s="53"/>
      <c r="E150" s="16"/>
      <c r="F150" s="16"/>
      <c r="G150" s="16"/>
      <c r="H150" s="16"/>
      <c r="J150" s="302">
        <v>19</v>
      </c>
      <c r="K150" s="302">
        <v>0</v>
      </c>
      <c r="L150" s="303">
        <v>0</v>
      </c>
      <c r="M150" s="302"/>
      <c r="N150" s="302">
        <v>0</v>
      </c>
      <c r="O150" s="302">
        <v>0</v>
      </c>
      <c r="P150" s="302">
        <f t="shared" si="9"/>
        <v>0</v>
      </c>
      <c r="Q150" s="435">
        <f t="shared" si="10"/>
        <v>0.68643075977021895</v>
      </c>
      <c r="R150" s="48"/>
    </row>
    <row r="151" spans="3:18">
      <c r="C151" s="16"/>
      <c r="D151" s="53"/>
      <c r="E151" s="16"/>
      <c r="F151" s="16"/>
      <c r="G151" s="16"/>
      <c r="H151" s="16"/>
      <c r="J151" s="302">
        <v>20</v>
      </c>
      <c r="K151" s="302">
        <v>0</v>
      </c>
      <c r="L151" s="303">
        <v>0</v>
      </c>
      <c r="M151" s="302"/>
      <c r="N151" s="302">
        <v>0</v>
      </c>
      <c r="O151" s="302">
        <v>0</v>
      </c>
      <c r="P151" s="302">
        <f t="shared" si="9"/>
        <v>0</v>
      </c>
      <c r="Q151" s="435">
        <f t="shared" si="10"/>
        <v>0.67297133310805779</v>
      </c>
      <c r="R151" s="48"/>
    </row>
    <row r="152" spans="3:18">
      <c r="C152" s="16"/>
      <c r="D152" s="16"/>
      <c r="E152" s="16"/>
      <c r="F152" s="16"/>
      <c r="G152" s="16"/>
      <c r="H152" s="16"/>
      <c r="J152" s="302">
        <v>21</v>
      </c>
      <c r="K152" s="302">
        <v>0</v>
      </c>
      <c r="L152" s="303">
        <v>0</v>
      </c>
      <c r="M152" s="302"/>
      <c r="N152" s="302">
        <v>0</v>
      </c>
      <c r="O152" s="302">
        <v>0</v>
      </c>
      <c r="P152" s="302">
        <f t="shared" si="9"/>
        <v>0</v>
      </c>
      <c r="Q152" s="435">
        <f t="shared" si="10"/>
        <v>0.65977581677260566</v>
      </c>
      <c r="R152" s="48"/>
    </row>
    <row r="153" spans="3:18">
      <c r="C153" s="16"/>
      <c r="D153" s="16"/>
      <c r="E153" s="16"/>
      <c r="F153" s="16"/>
      <c r="G153" s="16"/>
      <c r="H153" s="16"/>
      <c r="J153" s="302">
        <v>22</v>
      </c>
      <c r="K153" s="302">
        <v>0</v>
      </c>
      <c r="L153" s="303">
        <v>0</v>
      </c>
      <c r="M153" s="302"/>
      <c r="N153" s="302">
        <v>0</v>
      </c>
      <c r="O153" s="302">
        <v>0</v>
      </c>
      <c r="P153" s="302">
        <f t="shared" si="9"/>
        <v>0</v>
      </c>
      <c r="Q153" s="435">
        <f t="shared" si="10"/>
        <v>0.64683903605157411</v>
      </c>
      <c r="R153" s="48"/>
    </row>
    <row r="154" spans="3:18">
      <c r="C154" s="16"/>
      <c r="D154" s="16"/>
      <c r="E154" s="16"/>
      <c r="F154" s="16"/>
      <c r="G154" s="16"/>
      <c r="H154" s="16"/>
      <c r="J154" s="302">
        <v>23</v>
      </c>
      <c r="K154" s="302">
        <v>0</v>
      </c>
      <c r="L154" s="303">
        <v>0</v>
      </c>
      <c r="M154" s="302"/>
      <c r="N154" s="302">
        <v>0</v>
      </c>
      <c r="O154" s="302">
        <v>0</v>
      </c>
      <c r="P154" s="302">
        <f t="shared" si="9"/>
        <v>0</v>
      </c>
      <c r="Q154" s="435">
        <f t="shared" si="10"/>
        <v>0.63415591769762181</v>
      </c>
      <c r="R154" s="48"/>
    </row>
    <row r="155" spans="3:18">
      <c r="C155" s="16"/>
      <c r="D155" s="16"/>
      <c r="E155" s="16"/>
      <c r="F155" s="16"/>
      <c r="G155" s="16"/>
      <c r="H155" s="16"/>
      <c r="J155" s="302">
        <v>24</v>
      </c>
      <c r="K155" s="302">
        <v>0</v>
      </c>
      <c r="L155" s="303">
        <v>0</v>
      </c>
      <c r="M155" s="302"/>
      <c r="N155" s="302">
        <v>0</v>
      </c>
      <c r="O155" s="302">
        <v>0</v>
      </c>
      <c r="P155" s="302">
        <f t="shared" si="9"/>
        <v>0</v>
      </c>
      <c r="Q155" s="435">
        <f t="shared" si="10"/>
        <v>0.62172148793884485</v>
      </c>
      <c r="R155" s="48"/>
    </row>
    <row r="156" spans="3:18">
      <c r="C156" s="16"/>
      <c r="D156" s="16"/>
      <c r="E156" s="16"/>
      <c r="F156" s="16"/>
      <c r="G156" s="16"/>
      <c r="H156" s="16"/>
      <c r="J156" s="302">
        <v>25</v>
      </c>
      <c r="K156" s="302">
        <v>0</v>
      </c>
      <c r="L156" s="303">
        <v>0</v>
      </c>
      <c r="M156" s="302"/>
      <c r="N156" s="302">
        <v>0</v>
      </c>
      <c r="O156" s="302">
        <v>0</v>
      </c>
      <c r="P156" s="302">
        <f t="shared" si="9"/>
        <v>0</v>
      </c>
      <c r="Q156" s="435">
        <f t="shared" si="10"/>
        <v>0.60953087052827937</v>
      </c>
      <c r="R156" s="48"/>
    </row>
    <row r="157" spans="3:18">
      <c r="C157" s="16"/>
      <c r="D157" s="16"/>
      <c r="E157" s="16"/>
      <c r="F157" s="16"/>
      <c r="G157" s="16"/>
      <c r="H157" s="16"/>
      <c r="J157" s="302">
        <v>26</v>
      </c>
      <c r="K157" s="302">
        <v>0</v>
      </c>
      <c r="L157" s="303">
        <v>0</v>
      </c>
      <c r="M157" s="302"/>
      <c r="N157" s="302">
        <v>0</v>
      </c>
      <c r="O157" s="302">
        <v>0</v>
      </c>
      <c r="P157" s="302">
        <f t="shared" si="9"/>
        <v>0</v>
      </c>
      <c r="Q157" s="435">
        <f t="shared" si="10"/>
        <v>0.59757928483164635</v>
      </c>
      <c r="R157" s="48"/>
    </row>
    <row r="158" spans="3:18">
      <c r="C158" s="16"/>
      <c r="D158" s="16"/>
      <c r="E158" s="16"/>
      <c r="F158" s="16"/>
      <c r="G158" s="16"/>
      <c r="H158" s="16"/>
      <c r="J158" s="302">
        <v>27</v>
      </c>
      <c r="K158" s="302">
        <v>0</v>
      </c>
      <c r="L158" s="303">
        <v>0</v>
      </c>
      <c r="M158" s="302"/>
      <c r="N158" s="302">
        <v>0</v>
      </c>
      <c r="O158" s="302">
        <v>0</v>
      </c>
      <c r="P158" s="302">
        <f t="shared" si="9"/>
        <v>0</v>
      </c>
      <c r="Q158" s="435">
        <f t="shared" si="10"/>
        <v>0.58586204395259456</v>
      </c>
      <c r="R158" s="48"/>
    </row>
    <row r="159" spans="3:18">
      <c r="C159" s="16"/>
      <c r="J159" s="302">
        <v>28</v>
      </c>
      <c r="K159" s="302">
        <v>0</v>
      </c>
      <c r="L159" s="303">
        <v>0</v>
      </c>
      <c r="M159" s="302"/>
      <c r="N159" s="302">
        <v>0</v>
      </c>
      <c r="O159" s="302">
        <v>0</v>
      </c>
      <c r="P159" s="302">
        <f t="shared" si="9"/>
        <v>0</v>
      </c>
      <c r="Q159" s="435">
        <f t="shared" si="10"/>
        <v>0.57437455289470041</v>
      </c>
      <c r="R159" s="48"/>
    </row>
    <row r="160" spans="3:18">
      <c r="J160" s="302">
        <v>29</v>
      </c>
      <c r="K160" s="302">
        <v>0</v>
      </c>
      <c r="L160" s="303">
        <v>0</v>
      </c>
      <c r="M160" s="302"/>
      <c r="N160" s="302">
        <f>D146*E146+E147*D147</f>
        <v>0</v>
      </c>
      <c r="O160" s="302">
        <v>0</v>
      </c>
      <c r="P160" s="302">
        <f t="shared" si="9"/>
        <v>0</v>
      </c>
      <c r="Q160" s="435">
        <f t="shared" si="10"/>
        <v>0.56311230675951029</v>
      </c>
      <c r="R160" s="48"/>
    </row>
    <row r="161" spans="10:18">
      <c r="J161" s="302">
        <v>30</v>
      </c>
      <c r="K161" s="302">
        <v>0</v>
      </c>
      <c r="L161" s="303">
        <v>0</v>
      </c>
      <c r="M161" s="302">
        <v>110</v>
      </c>
      <c r="N161" s="302">
        <f>M161*23</f>
        <v>2530</v>
      </c>
      <c r="O161" s="302">
        <v>0</v>
      </c>
      <c r="P161" s="302">
        <f t="shared" si="9"/>
        <v>2530</v>
      </c>
      <c r="Q161" s="435">
        <f t="shared" si="10"/>
        <v>0.55207088897991197</v>
      </c>
      <c r="R161" s="48"/>
    </row>
    <row r="162" spans="10:18">
      <c r="J162" s="302">
        <v>31</v>
      </c>
      <c r="K162" s="302">
        <v>0</v>
      </c>
      <c r="L162" s="303">
        <v>0</v>
      </c>
      <c r="M162" s="302"/>
      <c r="N162" s="302">
        <v>0</v>
      </c>
      <c r="O162" s="302">
        <v>0</v>
      </c>
      <c r="P162" s="302">
        <v>-23</v>
      </c>
      <c r="Q162" s="435">
        <f t="shared" si="10"/>
        <v>0.54124596958814919</v>
      </c>
      <c r="R162" s="48"/>
    </row>
    <row r="163" spans="10:18">
      <c r="J163" s="302">
        <v>32</v>
      </c>
      <c r="K163" s="302">
        <v>0</v>
      </c>
      <c r="L163" s="302">
        <v>23</v>
      </c>
      <c r="M163" s="302"/>
      <c r="N163" s="302">
        <v>0</v>
      </c>
      <c r="O163" s="302">
        <v>0</v>
      </c>
      <c r="P163" s="302">
        <f t="shared" ref="P163:P180" si="11">N163-O163-L163-K163</f>
        <v>-23</v>
      </c>
      <c r="Q163" s="435">
        <f t="shared" si="10"/>
        <v>0.53063330351779314</v>
      </c>
      <c r="R163" s="48"/>
    </row>
    <row r="164" spans="10:18">
      <c r="J164" s="302">
        <v>33</v>
      </c>
      <c r="K164" s="302">
        <v>0</v>
      </c>
      <c r="L164" s="302">
        <v>23</v>
      </c>
      <c r="M164" s="302"/>
      <c r="N164" s="302">
        <v>0</v>
      </c>
      <c r="O164" s="302">
        <v>0</v>
      </c>
      <c r="P164" s="302">
        <f t="shared" si="11"/>
        <v>-23</v>
      </c>
      <c r="Q164" s="435">
        <f t="shared" si="10"/>
        <v>0.52022872893901284</v>
      </c>
      <c r="R164" s="48"/>
    </row>
    <row r="165" spans="10:18">
      <c r="J165" s="302">
        <v>34</v>
      </c>
      <c r="K165" s="302">
        <v>0</v>
      </c>
      <c r="L165" s="302">
        <v>23</v>
      </c>
      <c r="M165" s="302"/>
      <c r="N165" s="302">
        <v>0</v>
      </c>
      <c r="O165" s="302">
        <v>0</v>
      </c>
      <c r="P165" s="302">
        <f t="shared" si="11"/>
        <v>-23</v>
      </c>
      <c r="Q165" s="435">
        <f t="shared" si="10"/>
        <v>0.51002816562648323</v>
      </c>
      <c r="R165" s="48"/>
    </row>
    <row r="166" spans="10:18">
      <c r="J166" s="302">
        <v>35</v>
      </c>
      <c r="K166" s="302">
        <v>0</v>
      </c>
      <c r="L166" s="302">
        <v>23</v>
      </c>
      <c r="M166" s="302"/>
      <c r="N166" s="302">
        <v>0</v>
      </c>
      <c r="O166" s="302">
        <v>0</v>
      </c>
      <c r="P166" s="302">
        <f t="shared" si="11"/>
        <v>-23</v>
      </c>
      <c r="Q166" s="435">
        <f t="shared" si="10"/>
        <v>0.50002761335929735</v>
      </c>
      <c r="R166" s="48"/>
    </row>
    <row r="167" spans="10:18">
      <c r="J167" s="302">
        <v>36</v>
      </c>
      <c r="K167" s="302">
        <v>0</v>
      </c>
      <c r="L167" s="302">
        <v>23</v>
      </c>
      <c r="M167" s="302"/>
      <c r="N167" s="302">
        <v>0</v>
      </c>
      <c r="O167" s="302">
        <v>0</v>
      </c>
      <c r="P167" s="302">
        <f t="shared" si="11"/>
        <v>-23</v>
      </c>
      <c r="Q167" s="435">
        <f t="shared" si="10"/>
        <v>0.49022315035225233</v>
      </c>
      <c r="R167" s="48"/>
    </row>
    <row r="168" spans="10:18">
      <c r="J168" s="302">
        <v>37</v>
      </c>
      <c r="K168" s="302">
        <v>0</v>
      </c>
      <c r="L168" s="302">
        <v>23</v>
      </c>
      <c r="M168" s="302"/>
      <c r="N168" s="302">
        <v>0</v>
      </c>
      <c r="O168" s="302">
        <v>0</v>
      </c>
      <c r="P168" s="302">
        <f t="shared" si="11"/>
        <v>-23</v>
      </c>
      <c r="Q168" s="435">
        <f t="shared" si="10"/>
        <v>0.48061093171789437</v>
      </c>
      <c r="R168" s="48"/>
    </row>
    <row r="169" spans="10:18">
      <c r="J169" s="302">
        <v>38</v>
      </c>
      <c r="K169" s="302">
        <v>0</v>
      </c>
      <c r="L169" s="302">
        <v>23</v>
      </c>
      <c r="M169" s="302"/>
      <c r="N169" s="302">
        <v>0</v>
      </c>
      <c r="O169" s="302">
        <v>0</v>
      </c>
      <c r="P169" s="302">
        <f t="shared" si="11"/>
        <v>-23</v>
      </c>
      <c r="Q169" s="435">
        <f t="shared" si="10"/>
        <v>0.47118718795871989</v>
      </c>
      <c r="R169" s="48"/>
    </row>
    <row r="170" spans="10:18">
      <c r="J170" s="302">
        <v>39</v>
      </c>
      <c r="K170" s="302">
        <v>0</v>
      </c>
      <c r="L170" s="302">
        <v>23</v>
      </c>
      <c r="M170" s="302"/>
      <c r="N170" s="302">
        <v>0</v>
      </c>
      <c r="O170" s="302">
        <v>0</v>
      </c>
      <c r="P170" s="302">
        <f t="shared" si="11"/>
        <v>-23</v>
      </c>
      <c r="Q170" s="435">
        <f t="shared" si="10"/>
        <v>0.46194822348894127</v>
      </c>
      <c r="R170" s="48"/>
    </row>
    <row r="171" spans="10:18">
      <c r="J171" s="302">
        <v>40</v>
      </c>
      <c r="K171" s="302">
        <v>0</v>
      </c>
      <c r="L171" s="302">
        <v>23</v>
      </c>
      <c r="M171" s="302"/>
      <c r="N171" s="302">
        <v>0</v>
      </c>
      <c r="O171" s="302">
        <v>0</v>
      </c>
      <c r="P171" s="302">
        <f t="shared" si="11"/>
        <v>-23</v>
      </c>
      <c r="Q171" s="435">
        <f t="shared" si="10"/>
        <v>0.45289041518523643</v>
      </c>
      <c r="R171" s="48"/>
    </row>
    <row r="172" spans="10:18">
      <c r="J172" s="302">
        <v>41</v>
      </c>
      <c r="K172" s="302">
        <v>0</v>
      </c>
      <c r="L172" s="302">
        <v>23</v>
      </c>
      <c r="M172" s="302"/>
      <c r="N172" s="302">
        <v>0</v>
      </c>
      <c r="O172" s="302">
        <v>0</v>
      </c>
      <c r="P172" s="302">
        <f t="shared" si="11"/>
        <v>-23</v>
      </c>
      <c r="Q172" s="435">
        <f t="shared" si="10"/>
        <v>0.44401021096591808</v>
      </c>
      <c r="R172" s="48"/>
    </row>
    <row r="173" spans="10:18">
      <c r="J173" s="302">
        <v>42</v>
      </c>
      <c r="K173" s="302">
        <v>0</v>
      </c>
      <c r="L173" s="302">
        <v>23</v>
      </c>
      <c r="M173" s="302"/>
      <c r="N173" s="302">
        <v>0</v>
      </c>
      <c r="O173" s="302">
        <v>0</v>
      </c>
      <c r="P173" s="302">
        <f t="shared" si="11"/>
        <v>-23</v>
      </c>
      <c r="Q173" s="435">
        <f t="shared" si="10"/>
        <v>0.4353041283979589</v>
      </c>
      <c r="R173" s="48"/>
    </row>
    <row r="174" spans="10:18">
      <c r="J174" s="302">
        <v>43</v>
      </c>
      <c r="K174" s="302">
        <v>0</v>
      </c>
      <c r="L174" s="302">
        <v>23</v>
      </c>
      <c r="M174" s="302"/>
      <c r="N174" s="302">
        <v>0</v>
      </c>
      <c r="O174" s="302">
        <v>0</v>
      </c>
      <c r="P174" s="302">
        <f t="shared" si="11"/>
        <v>-23</v>
      </c>
      <c r="Q174" s="435">
        <f t="shared" si="10"/>
        <v>0.4267687533313323</v>
      </c>
      <c r="R174" s="48"/>
    </row>
    <row r="175" spans="10:18">
      <c r="J175" s="302">
        <v>44</v>
      </c>
      <c r="K175" s="302">
        <v>0</v>
      </c>
      <c r="L175" s="302">
        <v>23</v>
      </c>
      <c r="M175" s="302"/>
      <c r="N175" s="302">
        <v>0</v>
      </c>
      <c r="O175" s="302">
        <v>0</v>
      </c>
      <c r="P175" s="302">
        <f t="shared" si="11"/>
        <v>-23</v>
      </c>
      <c r="Q175" s="435">
        <f t="shared" si="10"/>
        <v>0.41840073856012966</v>
      </c>
      <c r="R175" s="48"/>
    </row>
    <row r="176" spans="10:18">
      <c r="J176" s="302">
        <v>45</v>
      </c>
      <c r="K176" s="302">
        <v>0</v>
      </c>
      <c r="L176" s="302">
        <v>23</v>
      </c>
      <c r="M176" s="302"/>
      <c r="N176" s="302">
        <v>0</v>
      </c>
      <c r="O176" s="302">
        <v>0</v>
      </c>
      <c r="P176" s="302">
        <f t="shared" si="11"/>
        <v>-23</v>
      </c>
      <c r="Q176" s="435">
        <f t="shared" si="10"/>
        <v>0.41019680250993107</v>
      </c>
      <c r="R176" s="48"/>
    </row>
    <row r="177" spans="10:18">
      <c r="J177" s="302">
        <v>46</v>
      </c>
      <c r="K177" s="302">
        <v>0</v>
      </c>
      <c r="L177" s="302">
        <v>23</v>
      </c>
      <c r="M177" s="302"/>
      <c r="N177" s="302">
        <v>0</v>
      </c>
      <c r="O177" s="302">
        <v>0</v>
      </c>
      <c r="P177" s="302">
        <f t="shared" si="11"/>
        <v>-23</v>
      </c>
      <c r="Q177" s="435">
        <f t="shared" si="10"/>
        <v>0.40215372795091275</v>
      </c>
      <c r="R177" s="48"/>
    </row>
    <row r="178" spans="10:18">
      <c r="J178" s="302">
        <v>47</v>
      </c>
      <c r="K178" s="302">
        <v>0</v>
      </c>
      <c r="L178" s="302">
        <v>23</v>
      </c>
      <c r="M178" s="302"/>
      <c r="N178" s="302">
        <v>0</v>
      </c>
      <c r="O178" s="302">
        <v>0</v>
      </c>
      <c r="P178" s="302">
        <f t="shared" si="11"/>
        <v>-23</v>
      </c>
      <c r="Q178" s="435">
        <f t="shared" si="10"/>
        <v>0.39426836073618909</v>
      </c>
      <c r="R178" s="48"/>
    </row>
    <row r="179" spans="10:18">
      <c r="J179" s="302">
        <v>48</v>
      </c>
      <c r="K179" s="302">
        <v>0</v>
      </c>
      <c r="L179" s="302">
        <v>23</v>
      </c>
      <c r="M179" s="302"/>
      <c r="N179" s="302">
        <v>0</v>
      </c>
      <c r="O179" s="302">
        <v>0</v>
      </c>
      <c r="P179" s="302">
        <f t="shared" si="11"/>
        <v>-23</v>
      </c>
      <c r="Q179" s="435">
        <f t="shared" si="10"/>
        <v>0.38653760856489122</v>
      </c>
      <c r="R179" s="48"/>
    </row>
    <row r="180" spans="10:18">
      <c r="J180" s="302">
        <v>49</v>
      </c>
      <c r="K180" s="302">
        <v>0</v>
      </c>
      <c r="L180" s="302">
        <v>23</v>
      </c>
      <c r="M180" s="302"/>
      <c r="N180" s="302">
        <v>0</v>
      </c>
      <c r="O180" s="302">
        <v>0</v>
      </c>
      <c r="P180" s="302">
        <f t="shared" si="11"/>
        <v>-23</v>
      </c>
      <c r="Q180" s="435">
        <f t="shared" si="10"/>
        <v>0.37895843976950117</v>
      </c>
      <c r="R180" s="48"/>
    </row>
    <row r="181" spans="10:18">
      <c r="J181" s="302">
        <v>50</v>
      </c>
      <c r="K181" s="302">
        <v>0</v>
      </c>
      <c r="L181" s="302">
        <v>23</v>
      </c>
      <c r="M181" s="302">
        <v>420</v>
      </c>
      <c r="N181" s="302">
        <f>M181*70</f>
        <v>29400</v>
      </c>
      <c r="O181" s="302">
        <v>0</v>
      </c>
      <c r="P181" s="302">
        <f t="shared" ref="P181" si="12">N181-O181-L181-K181</f>
        <v>29377</v>
      </c>
      <c r="Q181" s="435">
        <f t="shared" si="10"/>
        <v>0.37152788212696192</v>
      </c>
      <c r="R181" s="48"/>
    </row>
    <row r="182" spans="10:18">
      <c r="J182" s="302"/>
      <c r="K182" s="302"/>
      <c r="L182" s="302"/>
      <c r="M182" s="302"/>
      <c r="N182" s="302"/>
      <c r="O182" s="302"/>
      <c r="P182" s="418" t="s">
        <v>276</v>
      </c>
      <c r="Q182" s="436">
        <f>SUMPRODUCT(P131:P181,Q131:Q181)</f>
        <v>10746.348165569301</v>
      </c>
    </row>
    <row r="183" spans="10:18">
      <c r="J183" s="302"/>
      <c r="K183" s="302"/>
      <c r="L183" s="302"/>
      <c r="M183" s="302"/>
      <c r="N183" s="302"/>
      <c r="O183" s="302"/>
      <c r="P183" s="418" t="s">
        <v>278</v>
      </c>
      <c r="Q183" s="436">
        <f>Q182*(1+L$3)^J181/((1+L$3)^J181-1)</f>
        <v>17099.164561092341</v>
      </c>
    </row>
    <row r="184" spans="10:18">
      <c r="P184" s="2"/>
      <c r="Q184" s="168"/>
    </row>
    <row r="185" spans="10:18">
      <c r="P185" s="2"/>
      <c r="Q185" s="171"/>
    </row>
  </sheetData>
  <phoneticPr fontId="4" type="noConversion"/>
  <pageMargins left="0.78740157499999996" right="0.78740157499999996" top="0.984251969" bottom="0.984251969" header="0.4921259845" footer="0.4921259845"/>
  <pageSetup paperSize="9" scale="3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U71"/>
  <sheetViews>
    <sheetView topLeftCell="A23" zoomScale="85" zoomScaleNormal="70" workbookViewId="0">
      <selection activeCell="Q63" sqref="Q63"/>
    </sheetView>
  </sheetViews>
  <sheetFormatPr baseColWidth="10" defaultRowHeight="12.75"/>
  <cols>
    <col min="1" max="1" width="2.28515625" customWidth="1"/>
    <col min="2" max="2" width="18.85546875" customWidth="1"/>
    <col min="4" max="4" width="11.5703125" bestFit="1" customWidth="1"/>
    <col min="5" max="5" width="15" bestFit="1" customWidth="1"/>
    <col min="6" max="6" width="13.7109375" bestFit="1" customWidth="1"/>
    <col min="7" max="7" width="12.7109375" bestFit="1" customWidth="1"/>
    <col min="17" max="17" width="14.7109375" bestFit="1" customWidth="1"/>
    <col min="18" max="18" width="13" bestFit="1" customWidth="1"/>
    <col min="19" max="19" width="12.7109375" bestFit="1" customWidth="1"/>
  </cols>
  <sheetData>
    <row r="2" spans="2:21">
      <c r="B2" s="2" t="s">
        <v>28</v>
      </c>
    </row>
    <row r="4" spans="2:21">
      <c r="B4" s="50" t="s">
        <v>130</v>
      </c>
    </row>
    <row r="5" spans="2:21">
      <c r="B5" s="50" t="s">
        <v>134</v>
      </c>
      <c r="M5" s="18"/>
    </row>
    <row r="6" spans="2:21">
      <c r="B6" s="18" t="s">
        <v>465</v>
      </c>
    </row>
    <row r="8" spans="2:21">
      <c r="B8" s="50" t="s">
        <v>135</v>
      </c>
    </row>
    <row r="9" spans="2:21">
      <c r="B9" s="50" t="s">
        <v>136</v>
      </c>
    </row>
    <row r="10" spans="2:21">
      <c r="B10" s="50" t="s">
        <v>137</v>
      </c>
      <c r="Q10" s="212"/>
      <c r="R10" s="208" t="s">
        <v>328</v>
      </c>
      <c r="S10" s="208" t="s">
        <v>328</v>
      </c>
      <c r="T10" s="158" t="s">
        <v>328</v>
      </c>
      <c r="U10" s="158" t="s">
        <v>363</v>
      </c>
    </row>
    <row r="11" spans="2:21">
      <c r="B11" s="50" t="s">
        <v>133</v>
      </c>
      <c r="H11" s="12"/>
      <c r="I11" s="12"/>
      <c r="K11" s="454">
        <v>3</v>
      </c>
      <c r="P11" s="18"/>
      <c r="R11" s="213">
        <v>0.01</v>
      </c>
      <c r="S11" s="213">
        <v>0.02</v>
      </c>
      <c r="T11" s="213">
        <v>0.03</v>
      </c>
      <c r="U11" s="455">
        <v>3.23051972915245E-2</v>
      </c>
    </row>
    <row r="12" spans="2:21">
      <c r="K12" s="373" t="s">
        <v>289</v>
      </c>
      <c r="L12" s="374" t="s">
        <v>272</v>
      </c>
      <c r="M12" s="374" t="s">
        <v>320</v>
      </c>
      <c r="N12" s="456" t="s">
        <v>288</v>
      </c>
      <c r="O12" s="374" t="s">
        <v>313</v>
      </c>
      <c r="P12" s="456" t="s">
        <v>290</v>
      </c>
      <c r="Q12" s="457" t="s">
        <v>362</v>
      </c>
      <c r="R12" s="458" t="s">
        <v>361</v>
      </c>
      <c r="S12" s="459" t="s">
        <v>361</v>
      </c>
      <c r="T12" s="460" t="s">
        <v>361</v>
      </c>
      <c r="U12" s="460" t="s">
        <v>361</v>
      </c>
    </row>
    <row r="13" spans="2:21">
      <c r="K13" s="461">
        <v>0</v>
      </c>
      <c r="L13" s="406">
        <v>-2500</v>
      </c>
      <c r="M13" s="406">
        <v>0</v>
      </c>
      <c r="N13" s="406">
        <f>SUMIF(C$26:C$32,K13,H$26:H$32)</f>
        <v>0</v>
      </c>
      <c r="O13" s="462">
        <v>-2800</v>
      </c>
      <c r="P13" s="462">
        <f>M13+N13+O13</f>
        <v>-2800</v>
      </c>
      <c r="Q13" s="463">
        <f>N13+O13-M13+L13</f>
        <v>-5300</v>
      </c>
      <c r="R13" s="410">
        <f t="shared" ref="R13:R44" si="0">1/(1+R$11)^K13</f>
        <v>1</v>
      </c>
      <c r="S13" s="378">
        <f t="shared" ref="S13:S44" si="1">1/(1+S$11)^K13</f>
        <v>1</v>
      </c>
      <c r="T13" s="377">
        <f t="shared" ref="T13:T44" si="2">1/(1+T$11)^K13</f>
        <v>1</v>
      </c>
      <c r="U13" s="464">
        <f>1/(1+U$11)^K13</f>
        <v>1</v>
      </c>
    </row>
    <row r="14" spans="2:21">
      <c r="K14" s="410">
        <v>1</v>
      </c>
      <c r="L14" s="378"/>
      <c r="M14" s="376">
        <f>I19</f>
        <v>57.336303015297759</v>
      </c>
      <c r="N14" s="376">
        <f t="shared" ref="N14:N63" si="3">SUMIF(C$26:C$32,K14,H$26:H$32)</f>
        <v>0</v>
      </c>
      <c r="O14" s="376">
        <v>-900</v>
      </c>
      <c r="P14" s="376">
        <f>M14+N14+O14</f>
        <v>-842.66369698470226</v>
      </c>
      <c r="Q14" s="411">
        <f t="shared" ref="Q14:Q44" si="4">N14+O14+M14+L14</f>
        <v>-842.66369698470226</v>
      </c>
      <c r="R14" s="465">
        <f t="shared" si="0"/>
        <v>0.99009900990099009</v>
      </c>
      <c r="S14" s="416">
        <f t="shared" si="1"/>
        <v>0.98039215686274506</v>
      </c>
      <c r="T14" s="464">
        <f t="shared" si="2"/>
        <v>0.970873786407767</v>
      </c>
      <c r="U14" s="464">
        <f t="shared" ref="U14:U63" si="5">1/(1+U$11)^K14</f>
        <v>0.96870576901454708</v>
      </c>
    </row>
    <row r="15" spans="2:21">
      <c r="B15" s="50" t="s">
        <v>131</v>
      </c>
      <c r="G15" s="454">
        <v>1</v>
      </c>
      <c r="K15" s="410">
        <v>2</v>
      </c>
      <c r="L15" s="378"/>
      <c r="M15" s="376">
        <f t="shared" ref="M15:M63" si="6">M14</f>
        <v>57.336303015297759</v>
      </c>
      <c r="N15" s="376">
        <f t="shared" si="3"/>
        <v>0</v>
      </c>
      <c r="O15" s="376">
        <v>-900</v>
      </c>
      <c r="P15" s="376">
        <f t="shared" ref="P15:P63" si="7">M15+N15+O15</f>
        <v>-842.66369698470226</v>
      </c>
      <c r="Q15" s="411">
        <f t="shared" si="4"/>
        <v>-842.66369698470226</v>
      </c>
      <c r="R15" s="465">
        <f t="shared" si="0"/>
        <v>0.98029604940692083</v>
      </c>
      <c r="S15" s="416">
        <f t="shared" si="1"/>
        <v>0.96116878123798544</v>
      </c>
      <c r="T15" s="464">
        <f t="shared" si="2"/>
        <v>0.94259590913375435</v>
      </c>
      <c r="U15" s="464">
        <f t="shared" si="5"/>
        <v>0.93839086692206508</v>
      </c>
    </row>
    <row r="16" spans="2:21">
      <c r="G16" s="6"/>
      <c r="H16" s="23"/>
      <c r="I16" s="182"/>
      <c r="K16" s="410">
        <v>3</v>
      </c>
      <c r="L16" s="378"/>
      <c r="M16" s="376">
        <f t="shared" si="6"/>
        <v>57.336303015297759</v>
      </c>
      <c r="N16" s="376">
        <f t="shared" si="3"/>
        <v>0</v>
      </c>
      <c r="O16" s="376"/>
      <c r="P16" s="376">
        <f t="shared" si="7"/>
        <v>57.336303015297759</v>
      </c>
      <c r="Q16" s="411">
        <f t="shared" si="4"/>
        <v>57.336303015297759</v>
      </c>
      <c r="R16" s="465">
        <f t="shared" si="0"/>
        <v>0.97059014792764453</v>
      </c>
      <c r="S16" s="416">
        <f t="shared" si="1"/>
        <v>0.94232233454704462</v>
      </c>
      <c r="T16" s="464">
        <f t="shared" si="2"/>
        <v>0.91514165935315961</v>
      </c>
      <c r="U16" s="464">
        <f t="shared" si="5"/>
        <v>0.90902464637796665</v>
      </c>
    </row>
    <row r="17" spans="1:21">
      <c r="B17" s="40" t="s">
        <v>46</v>
      </c>
      <c r="C17" s="39" t="s">
        <v>1</v>
      </c>
      <c r="D17" s="39" t="s">
        <v>64</v>
      </c>
      <c r="E17" s="41"/>
      <c r="G17" s="801" t="s">
        <v>318</v>
      </c>
      <c r="H17" s="802"/>
      <c r="I17" s="207">
        <v>6</v>
      </c>
      <c r="K17" s="410">
        <v>4</v>
      </c>
      <c r="L17" s="378"/>
      <c r="M17" s="376">
        <f t="shared" si="6"/>
        <v>57.336303015297759</v>
      </c>
      <c r="N17" s="376">
        <f t="shared" si="3"/>
        <v>0</v>
      </c>
      <c r="O17" s="376"/>
      <c r="P17" s="376">
        <f t="shared" si="7"/>
        <v>57.336303015297759</v>
      </c>
      <c r="Q17" s="411">
        <f t="shared" si="4"/>
        <v>57.336303015297759</v>
      </c>
      <c r="R17" s="465">
        <f t="shared" si="0"/>
        <v>0.96098034448281622</v>
      </c>
      <c r="S17" s="416">
        <f t="shared" si="1"/>
        <v>0.9238454260265142</v>
      </c>
      <c r="T17" s="464">
        <f t="shared" si="2"/>
        <v>0.888487047915689</v>
      </c>
      <c r="U17" s="464">
        <f t="shared" si="5"/>
        <v>0.8805774191227449</v>
      </c>
    </row>
    <row r="18" spans="1:21">
      <c r="B18" s="6" t="s">
        <v>57</v>
      </c>
      <c r="C18" s="67">
        <v>0</v>
      </c>
      <c r="D18" s="68">
        <v>-2800</v>
      </c>
      <c r="E18" s="21"/>
      <c r="F18" s="41"/>
      <c r="G18" s="803" t="s">
        <v>319</v>
      </c>
      <c r="H18" s="804"/>
      <c r="I18" s="377">
        <f>MIN(I17/3*0.15,1)</f>
        <v>0.3</v>
      </c>
      <c r="K18" s="410">
        <v>5</v>
      </c>
      <c r="L18" s="378"/>
      <c r="M18" s="376">
        <f t="shared" si="6"/>
        <v>57.336303015297759</v>
      </c>
      <c r="N18" s="376">
        <f t="shared" si="3"/>
        <v>0</v>
      </c>
      <c r="O18" s="376"/>
      <c r="P18" s="376">
        <f t="shared" si="7"/>
        <v>57.336303015297759</v>
      </c>
      <c r="Q18" s="411">
        <f t="shared" si="4"/>
        <v>57.336303015297759</v>
      </c>
      <c r="R18" s="465">
        <f t="shared" si="0"/>
        <v>0.95146568760674888</v>
      </c>
      <c r="S18" s="416">
        <f t="shared" si="1"/>
        <v>0.90573080982991594</v>
      </c>
      <c r="T18" s="464">
        <f t="shared" si="2"/>
        <v>0.86260878438416411</v>
      </c>
      <c r="U18" s="464">
        <f t="shared" si="5"/>
        <v>0.85302042596814387</v>
      </c>
    </row>
    <row r="19" spans="1:21">
      <c r="B19" s="210" t="s">
        <v>50</v>
      </c>
      <c r="C19" s="69">
        <v>1</v>
      </c>
      <c r="D19" s="43">
        <v>-900</v>
      </c>
      <c r="E19" s="21"/>
      <c r="F19" s="21"/>
      <c r="G19" s="805" t="s">
        <v>321</v>
      </c>
      <c r="H19" s="806"/>
      <c r="I19" s="498">
        <f>32*LN(I17)</f>
        <v>57.336303015297759</v>
      </c>
      <c r="K19" s="410">
        <v>6</v>
      </c>
      <c r="L19" s="378"/>
      <c r="M19" s="376">
        <f t="shared" si="6"/>
        <v>57.336303015297759</v>
      </c>
      <c r="N19" s="376">
        <f t="shared" si="3"/>
        <v>0</v>
      </c>
      <c r="O19" s="376"/>
      <c r="P19" s="376">
        <f t="shared" si="7"/>
        <v>57.336303015297759</v>
      </c>
      <c r="Q19" s="411">
        <f t="shared" si="4"/>
        <v>57.336303015297759</v>
      </c>
      <c r="R19" s="465">
        <f t="shared" si="0"/>
        <v>0.94204523525420658</v>
      </c>
      <c r="S19" s="416">
        <f t="shared" si="1"/>
        <v>0.88797138218619198</v>
      </c>
      <c r="T19" s="464">
        <f t="shared" si="2"/>
        <v>0.83748425668365445</v>
      </c>
      <c r="U19" s="464">
        <f t="shared" si="5"/>
        <v>0.82632580772258724</v>
      </c>
    </row>
    <row r="20" spans="1:21">
      <c r="B20" s="210" t="s">
        <v>50</v>
      </c>
      <c r="C20" s="69">
        <v>2</v>
      </c>
      <c r="D20" s="43">
        <v>-900</v>
      </c>
      <c r="F20" s="21"/>
      <c r="G20" s="21"/>
      <c r="K20" s="410">
        <v>7</v>
      </c>
      <c r="L20" s="378"/>
      <c r="M20" s="376">
        <f t="shared" si="6"/>
        <v>57.336303015297759</v>
      </c>
      <c r="N20" s="376">
        <f t="shared" si="3"/>
        <v>0</v>
      </c>
      <c r="O20" s="376"/>
      <c r="P20" s="376">
        <f t="shared" si="7"/>
        <v>57.336303015297759</v>
      </c>
      <c r="Q20" s="411">
        <f t="shared" si="4"/>
        <v>57.336303015297759</v>
      </c>
      <c r="R20" s="465">
        <f t="shared" si="0"/>
        <v>0.93271805470713554</v>
      </c>
      <c r="S20" s="416">
        <f t="shared" si="1"/>
        <v>0.87056017861391388</v>
      </c>
      <c r="T20" s="464">
        <f t="shared" si="2"/>
        <v>0.81309151134335378</v>
      </c>
      <c r="U20" s="464">
        <f t="shared" si="5"/>
        <v>0.80046657702647572</v>
      </c>
    </row>
    <row r="21" spans="1:21">
      <c r="B21" s="7" t="s">
        <v>51</v>
      </c>
      <c r="C21" s="69">
        <v>19</v>
      </c>
      <c r="D21" s="43">
        <v>-1800</v>
      </c>
      <c r="F21" s="21"/>
      <c r="G21" s="21"/>
      <c r="K21" s="410">
        <v>8</v>
      </c>
      <c r="L21" s="378"/>
      <c r="M21" s="376">
        <f t="shared" si="6"/>
        <v>57.336303015297759</v>
      </c>
      <c r="N21" s="376">
        <f t="shared" si="3"/>
        <v>0</v>
      </c>
      <c r="O21" s="376"/>
      <c r="P21" s="376">
        <f t="shared" si="7"/>
        <v>57.336303015297759</v>
      </c>
      <c r="Q21" s="411">
        <f t="shared" si="4"/>
        <v>57.336303015297759</v>
      </c>
      <c r="R21" s="465">
        <f t="shared" si="0"/>
        <v>0.92348322248231218</v>
      </c>
      <c r="S21" s="416">
        <f t="shared" si="1"/>
        <v>0.85349037119011162</v>
      </c>
      <c r="T21" s="464">
        <f t="shared" si="2"/>
        <v>0.78940923431393573</v>
      </c>
      <c r="U21" s="464">
        <f t="shared" si="5"/>
        <v>0.77541659106887439</v>
      </c>
    </row>
    <row r="22" spans="1:21">
      <c r="B22" s="9" t="s">
        <v>58</v>
      </c>
      <c r="C22" s="70">
        <v>26</v>
      </c>
      <c r="D22" s="46">
        <v>-800</v>
      </c>
      <c r="F22" s="454">
        <v>2</v>
      </c>
      <c r="G22" s="21"/>
      <c r="K22" s="410">
        <v>9</v>
      </c>
      <c r="L22" s="378"/>
      <c r="M22" s="376">
        <f t="shared" si="6"/>
        <v>57.336303015297759</v>
      </c>
      <c r="N22" s="376">
        <f t="shared" si="3"/>
        <v>0</v>
      </c>
      <c r="O22" s="376"/>
      <c r="P22" s="376">
        <f t="shared" si="7"/>
        <v>57.336303015297759</v>
      </c>
      <c r="Q22" s="411">
        <f t="shared" si="4"/>
        <v>57.336303015297759</v>
      </c>
      <c r="R22" s="465">
        <f t="shared" si="0"/>
        <v>0.91433982423991289</v>
      </c>
      <c r="S22" s="416">
        <f t="shared" si="1"/>
        <v>0.83675526587265847</v>
      </c>
      <c r="T22" s="464">
        <f t="shared" si="2"/>
        <v>0.76641673234362695</v>
      </c>
      <c r="U22" s="464">
        <f t="shared" si="5"/>
        <v>0.75115052515801262</v>
      </c>
    </row>
    <row r="23" spans="1:21">
      <c r="B23" s="16"/>
      <c r="C23" s="21"/>
      <c r="D23" s="71"/>
      <c r="F23" s="444" t="s">
        <v>288</v>
      </c>
      <c r="G23" s="444" t="s">
        <v>288</v>
      </c>
      <c r="H23" s="445" t="s">
        <v>288</v>
      </c>
      <c r="K23" s="410">
        <v>10</v>
      </c>
      <c r="L23" s="378"/>
      <c r="M23" s="376">
        <f t="shared" si="6"/>
        <v>57.336303015297759</v>
      </c>
      <c r="N23" s="376">
        <f t="shared" si="3"/>
        <v>0</v>
      </c>
      <c r="O23" s="376"/>
      <c r="P23" s="376">
        <f t="shared" si="7"/>
        <v>57.336303015297759</v>
      </c>
      <c r="Q23" s="411">
        <f t="shared" si="4"/>
        <v>57.336303015297759</v>
      </c>
      <c r="R23" s="465">
        <f t="shared" si="0"/>
        <v>0.90528695469298315</v>
      </c>
      <c r="S23" s="416">
        <f t="shared" si="1"/>
        <v>0.82034829987515534</v>
      </c>
      <c r="T23" s="464">
        <f t="shared" si="2"/>
        <v>0.74409391489672516</v>
      </c>
      <c r="U23" s="464">
        <f t="shared" si="5"/>
        <v>0.72764384711887353</v>
      </c>
    </row>
    <row r="24" spans="1:21">
      <c r="A24" s="16"/>
      <c r="B24" s="153"/>
      <c r="C24" s="21"/>
      <c r="D24" s="71"/>
      <c r="F24" s="444" t="s">
        <v>356</v>
      </c>
      <c r="G24" s="444" t="s">
        <v>357</v>
      </c>
      <c r="H24" s="445" t="s">
        <v>360</v>
      </c>
      <c r="K24" s="410">
        <v>11</v>
      </c>
      <c r="L24" s="378"/>
      <c r="M24" s="376">
        <f t="shared" si="6"/>
        <v>57.336303015297759</v>
      </c>
      <c r="N24" s="376">
        <f t="shared" si="3"/>
        <v>0</v>
      </c>
      <c r="O24" s="376"/>
      <c r="P24" s="376">
        <f t="shared" si="7"/>
        <v>57.336303015297759</v>
      </c>
      <c r="Q24" s="411">
        <f t="shared" si="4"/>
        <v>57.336303015297759</v>
      </c>
      <c r="R24" s="465">
        <f t="shared" si="0"/>
        <v>0.89632371751780526</v>
      </c>
      <c r="S24" s="416">
        <f t="shared" si="1"/>
        <v>0.80426303909328967</v>
      </c>
      <c r="T24" s="464">
        <f t="shared" si="2"/>
        <v>0.72242127659876232</v>
      </c>
      <c r="U24" s="464">
        <f t="shared" si="5"/>
        <v>0.70487279249199197</v>
      </c>
    </row>
    <row r="25" spans="1:21">
      <c r="A25" s="8"/>
      <c r="B25" s="40" t="s">
        <v>46</v>
      </c>
      <c r="C25" s="39" t="s">
        <v>1</v>
      </c>
      <c r="D25" s="39" t="s">
        <v>59</v>
      </c>
      <c r="E25" s="211" t="s">
        <v>63</v>
      </c>
      <c r="F25" s="446" t="s">
        <v>358</v>
      </c>
      <c r="G25" s="447" t="s">
        <v>359</v>
      </c>
      <c r="H25" s="448" t="s">
        <v>463</v>
      </c>
      <c r="K25" s="410">
        <v>12</v>
      </c>
      <c r="L25" s="378"/>
      <c r="M25" s="376">
        <f t="shared" si="6"/>
        <v>57.336303015297759</v>
      </c>
      <c r="N25" s="376">
        <f t="shared" si="3"/>
        <v>0</v>
      </c>
      <c r="O25" s="376"/>
      <c r="P25" s="376">
        <f t="shared" si="7"/>
        <v>57.336303015297759</v>
      </c>
      <c r="Q25" s="411">
        <f t="shared" si="4"/>
        <v>57.336303015297759</v>
      </c>
      <c r="R25" s="465">
        <f t="shared" si="0"/>
        <v>0.88744922526515368</v>
      </c>
      <c r="S25" s="416">
        <f t="shared" si="1"/>
        <v>0.78849317558165644</v>
      </c>
      <c r="T25" s="464">
        <f t="shared" si="2"/>
        <v>0.70137988019297326</v>
      </c>
      <c r="U25" s="464">
        <f t="shared" si="5"/>
        <v>0.6828143405083863</v>
      </c>
    </row>
    <row r="26" spans="1:21">
      <c r="B26" s="34" t="s">
        <v>52</v>
      </c>
      <c r="C26" s="20">
        <v>20</v>
      </c>
      <c r="D26" s="42">
        <v>2</v>
      </c>
      <c r="E26" s="47">
        <v>57</v>
      </c>
      <c r="F26" s="449">
        <f>E26*D26</f>
        <v>114</v>
      </c>
      <c r="G26" s="450">
        <f>F26*0.6</f>
        <v>68.399999999999991</v>
      </c>
      <c r="H26" s="407">
        <f>F26*(1-I$18)+G26*I$18</f>
        <v>100.32</v>
      </c>
      <c r="K26" s="410">
        <v>13</v>
      </c>
      <c r="L26" s="378"/>
      <c r="M26" s="376">
        <f t="shared" si="6"/>
        <v>57.336303015297759</v>
      </c>
      <c r="N26" s="376">
        <f t="shared" si="3"/>
        <v>0</v>
      </c>
      <c r="O26" s="376"/>
      <c r="P26" s="376">
        <f t="shared" si="7"/>
        <v>57.336303015297759</v>
      </c>
      <c r="Q26" s="411">
        <f t="shared" si="4"/>
        <v>57.336303015297759</v>
      </c>
      <c r="R26" s="465">
        <f t="shared" si="0"/>
        <v>0.87866259927242929</v>
      </c>
      <c r="S26" s="416">
        <f t="shared" si="1"/>
        <v>0.77303252508005538</v>
      </c>
      <c r="T26" s="464">
        <f t="shared" si="2"/>
        <v>0.68095133999317792</v>
      </c>
      <c r="U26" s="464">
        <f t="shared" si="5"/>
        <v>0.66144619081633726</v>
      </c>
    </row>
    <row r="27" spans="1:21">
      <c r="B27" s="34" t="s">
        <v>52</v>
      </c>
      <c r="C27" s="20">
        <v>25</v>
      </c>
      <c r="D27" s="44">
        <v>5</v>
      </c>
      <c r="E27" s="43">
        <v>57</v>
      </c>
      <c r="F27" s="451">
        <f t="shared" ref="F27:F32" si="8">E27*D27</f>
        <v>285</v>
      </c>
      <c r="G27" s="444">
        <f t="shared" ref="G27:G32" si="9">F27*0.6</f>
        <v>171</v>
      </c>
      <c r="H27" s="377">
        <f t="shared" ref="H27:H32" si="10">F27*(1-I$18)+G27*I$18</f>
        <v>250.8</v>
      </c>
      <c r="I27" s="12"/>
      <c r="K27" s="410">
        <v>14</v>
      </c>
      <c r="L27" s="378"/>
      <c r="M27" s="376">
        <f t="shared" si="6"/>
        <v>57.336303015297759</v>
      </c>
      <c r="N27" s="376">
        <f t="shared" si="3"/>
        <v>0</v>
      </c>
      <c r="O27" s="376"/>
      <c r="P27" s="376">
        <f t="shared" si="7"/>
        <v>57.336303015297759</v>
      </c>
      <c r="Q27" s="411">
        <f t="shared" si="4"/>
        <v>57.336303015297759</v>
      </c>
      <c r="R27" s="465">
        <f t="shared" si="0"/>
        <v>0.86996296957666264</v>
      </c>
      <c r="S27" s="416">
        <f t="shared" si="1"/>
        <v>0.75787502458828948</v>
      </c>
      <c r="T27" s="464">
        <f t="shared" si="2"/>
        <v>0.66111780581861923</v>
      </c>
      <c r="U27" s="464">
        <f t="shared" si="5"/>
        <v>0.64074674093648276</v>
      </c>
    </row>
    <row r="28" spans="1:21">
      <c r="B28" s="34" t="s">
        <v>52</v>
      </c>
      <c r="C28" s="20">
        <v>30</v>
      </c>
      <c r="D28" s="44">
        <v>10</v>
      </c>
      <c r="E28" s="43">
        <v>57</v>
      </c>
      <c r="F28" s="451">
        <f t="shared" si="8"/>
        <v>570</v>
      </c>
      <c r="G28" s="444">
        <f t="shared" si="9"/>
        <v>342</v>
      </c>
      <c r="H28" s="377">
        <f t="shared" si="10"/>
        <v>501.6</v>
      </c>
      <c r="I28" s="12"/>
      <c r="K28" s="410">
        <v>15</v>
      </c>
      <c r="L28" s="378"/>
      <c r="M28" s="376">
        <f t="shared" si="6"/>
        <v>57.336303015297759</v>
      </c>
      <c r="N28" s="376">
        <f t="shared" si="3"/>
        <v>0</v>
      </c>
      <c r="O28" s="376"/>
      <c r="P28" s="376">
        <f t="shared" si="7"/>
        <v>57.336303015297759</v>
      </c>
      <c r="Q28" s="411">
        <f t="shared" si="4"/>
        <v>57.336303015297759</v>
      </c>
      <c r="R28" s="465">
        <f t="shared" si="0"/>
        <v>0.86134947482837909</v>
      </c>
      <c r="S28" s="416">
        <f t="shared" si="1"/>
        <v>0.74301472998851925</v>
      </c>
      <c r="T28" s="464">
        <f t="shared" si="2"/>
        <v>0.64186194739671765</v>
      </c>
      <c r="U28" s="464">
        <f>1/(1+U$11)^K28</f>
        <v>0.62069506442244038</v>
      </c>
    </row>
    <row r="29" spans="1:21">
      <c r="B29" s="34" t="s">
        <v>52</v>
      </c>
      <c r="C29" s="63">
        <v>35</v>
      </c>
      <c r="D29" s="44">
        <v>15</v>
      </c>
      <c r="E29" s="43">
        <v>58</v>
      </c>
      <c r="F29" s="451">
        <f t="shared" si="8"/>
        <v>870</v>
      </c>
      <c r="G29" s="444">
        <f t="shared" si="9"/>
        <v>522</v>
      </c>
      <c r="H29" s="377">
        <f t="shared" si="10"/>
        <v>765.6</v>
      </c>
      <c r="K29" s="410">
        <v>16</v>
      </c>
      <c r="L29" s="378"/>
      <c r="M29" s="376">
        <f t="shared" si="6"/>
        <v>57.336303015297759</v>
      </c>
      <c r="N29" s="376">
        <f t="shared" si="3"/>
        <v>0</v>
      </c>
      <c r="O29" s="376"/>
      <c r="P29" s="376">
        <f t="shared" si="7"/>
        <v>57.336303015297759</v>
      </c>
      <c r="Q29" s="411">
        <f t="shared" si="4"/>
        <v>57.336303015297759</v>
      </c>
      <c r="R29" s="465">
        <f t="shared" si="0"/>
        <v>0.8528212622063156</v>
      </c>
      <c r="S29" s="416">
        <f t="shared" si="1"/>
        <v>0.72844581371423445</v>
      </c>
      <c r="T29" s="464">
        <f t="shared" si="2"/>
        <v>0.62316693922011435</v>
      </c>
      <c r="U29" s="464">
        <f t="shared" si="5"/>
        <v>0.60127088970487397</v>
      </c>
    </row>
    <row r="30" spans="1:21">
      <c r="B30" s="34" t="s">
        <v>52</v>
      </c>
      <c r="C30" s="63">
        <v>40</v>
      </c>
      <c r="D30" s="44">
        <v>25</v>
      </c>
      <c r="E30" s="43">
        <v>57</v>
      </c>
      <c r="F30" s="451">
        <f t="shared" si="8"/>
        <v>1425</v>
      </c>
      <c r="G30" s="444">
        <f t="shared" si="9"/>
        <v>855</v>
      </c>
      <c r="H30" s="377">
        <f t="shared" si="10"/>
        <v>1254</v>
      </c>
      <c r="K30" s="410">
        <v>17</v>
      </c>
      <c r="L30" s="378"/>
      <c r="M30" s="376">
        <f t="shared" si="6"/>
        <v>57.336303015297759</v>
      </c>
      <c r="N30" s="376">
        <f t="shared" si="3"/>
        <v>0</v>
      </c>
      <c r="O30" s="376"/>
      <c r="P30" s="376">
        <f t="shared" si="7"/>
        <v>57.336303015297759</v>
      </c>
      <c r="Q30" s="411">
        <f t="shared" si="4"/>
        <v>57.336303015297759</v>
      </c>
      <c r="R30" s="465">
        <f t="shared" si="0"/>
        <v>0.84437748733298568</v>
      </c>
      <c r="S30" s="416">
        <f t="shared" si="1"/>
        <v>0.7141625624649357</v>
      </c>
      <c r="T30" s="464">
        <f t="shared" si="2"/>
        <v>0.60501644584477121</v>
      </c>
      <c r="U30" s="464">
        <f t="shared" si="5"/>
        <v>0.58245457959762093</v>
      </c>
    </row>
    <row r="31" spans="1:21">
      <c r="B31" s="34" t="s">
        <v>52</v>
      </c>
      <c r="C31" s="20">
        <v>45</v>
      </c>
      <c r="D31" s="44">
        <v>40</v>
      </c>
      <c r="E31" s="43">
        <v>55</v>
      </c>
      <c r="F31" s="451">
        <f t="shared" si="8"/>
        <v>2200</v>
      </c>
      <c r="G31" s="444">
        <f t="shared" si="9"/>
        <v>1320</v>
      </c>
      <c r="H31" s="377">
        <f t="shared" si="10"/>
        <v>1936</v>
      </c>
      <c r="K31" s="410">
        <v>18</v>
      </c>
      <c r="L31" s="378"/>
      <c r="M31" s="376">
        <f t="shared" si="6"/>
        <v>57.336303015297759</v>
      </c>
      <c r="N31" s="376">
        <f t="shared" si="3"/>
        <v>0</v>
      </c>
      <c r="O31" s="376"/>
      <c r="P31" s="376">
        <f t="shared" si="7"/>
        <v>57.336303015297759</v>
      </c>
      <c r="Q31" s="411">
        <f t="shared" si="4"/>
        <v>57.336303015297759</v>
      </c>
      <c r="R31" s="465">
        <f t="shared" si="0"/>
        <v>0.83601731419107495</v>
      </c>
      <c r="S31" s="416">
        <f t="shared" si="1"/>
        <v>0.7001593749656233</v>
      </c>
      <c r="T31" s="464">
        <f t="shared" si="2"/>
        <v>0.5873946076162827</v>
      </c>
      <c r="U31" s="464">
        <f t="shared" si="5"/>
        <v>0.56422711144515802</v>
      </c>
    </row>
    <row r="32" spans="1:21" s="12" customFormat="1">
      <c r="B32" s="35" t="s">
        <v>54</v>
      </c>
      <c r="C32" s="72">
        <v>50</v>
      </c>
      <c r="D32" s="45">
        <v>54</v>
      </c>
      <c r="E32" s="46">
        <v>516</v>
      </c>
      <c r="F32" s="452">
        <f t="shared" si="8"/>
        <v>27864</v>
      </c>
      <c r="G32" s="453">
        <f t="shared" si="9"/>
        <v>16718.399999999998</v>
      </c>
      <c r="H32" s="380">
        <f t="shared" si="10"/>
        <v>24520.32</v>
      </c>
      <c r="I32"/>
      <c r="K32" s="410">
        <v>19</v>
      </c>
      <c r="L32" s="378"/>
      <c r="M32" s="376">
        <f t="shared" si="6"/>
        <v>57.336303015297759</v>
      </c>
      <c r="N32" s="376">
        <f t="shared" si="3"/>
        <v>0</v>
      </c>
      <c r="O32" s="376">
        <v>-1800</v>
      </c>
      <c r="P32" s="376">
        <f t="shared" si="7"/>
        <v>-1742.6636969847023</v>
      </c>
      <c r="Q32" s="411">
        <f t="shared" si="4"/>
        <v>-1742.6636969847023</v>
      </c>
      <c r="R32" s="465">
        <f t="shared" si="0"/>
        <v>0.82773991504066846</v>
      </c>
      <c r="S32" s="416">
        <f t="shared" si="1"/>
        <v>0.68643075977021895</v>
      </c>
      <c r="T32" s="464">
        <f t="shared" si="2"/>
        <v>0.57028602681192497</v>
      </c>
      <c r="U32" s="464">
        <f t="shared" si="5"/>
        <v>0.54657005789133839</v>
      </c>
    </row>
    <row r="33" spans="2:21" s="12" customFormat="1">
      <c r="B33"/>
      <c r="C33"/>
      <c r="D33"/>
      <c r="E33"/>
      <c r="F33"/>
      <c r="G33"/>
      <c r="H33"/>
      <c r="I33"/>
      <c r="K33" s="410">
        <v>20</v>
      </c>
      <c r="L33" s="378"/>
      <c r="M33" s="376">
        <f t="shared" si="6"/>
        <v>57.336303015297759</v>
      </c>
      <c r="N33" s="376">
        <f>SUMIF(C$26:C$32,K33,H$26:H$32)</f>
        <v>100.32</v>
      </c>
      <c r="O33" s="376"/>
      <c r="P33" s="376">
        <f t="shared" si="7"/>
        <v>157.65630301529774</v>
      </c>
      <c r="Q33" s="411">
        <f t="shared" si="4"/>
        <v>157.65630301529774</v>
      </c>
      <c r="R33" s="465">
        <f t="shared" si="0"/>
        <v>0.81954447033729538</v>
      </c>
      <c r="S33" s="416">
        <f t="shared" si="1"/>
        <v>0.67297133310805779</v>
      </c>
      <c r="T33" s="464">
        <f t="shared" si="2"/>
        <v>0.55367575418633497</v>
      </c>
      <c r="U33" s="464">
        <f t="shared" si="5"/>
        <v>0.52946556824995461</v>
      </c>
    </row>
    <row r="34" spans="2:21">
      <c r="B34" s="50" t="s">
        <v>132</v>
      </c>
      <c r="K34" s="410">
        <v>21</v>
      </c>
      <c r="L34" s="378"/>
      <c r="M34" s="376">
        <f t="shared" si="6"/>
        <v>57.336303015297759</v>
      </c>
      <c r="N34" s="376">
        <f t="shared" si="3"/>
        <v>0</v>
      </c>
      <c r="O34" s="376"/>
      <c r="P34" s="376">
        <f t="shared" si="7"/>
        <v>57.336303015297759</v>
      </c>
      <c r="Q34" s="411">
        <f t="shared" si="4"/>
        <v>57.336303015297759</v>
      </c>
      <c r="R34" s="465">
        <f t="shared" si="0"/>
        <v>0.81143016865078765</v>
      </c>
      <c r="S34" s="416">
        <f t="shared" si="1"/>
        <v>0.65977581677260566</v>
      </c>
      <c r="T34" s="464">
        <f t="shared" si="2"/>
        <v>0.5375492759090631</v>
      </c>
      <c r="U34" s="464">
        <f t="shared" si="5"/>
        <v>0.5128963504582964</v>
      </c>
    </row>
    <row r="35" spans="2:21">
      <c r="D35" s="12"/>
      <c r="K35" s="410">
        <v>22</v>
      </c>
      <c r="L35" s="378"/>
      <c r="M35" s="376">
        <f t="shared" si="6"/>
        <v>57.336303015297759</v>
      </c>
      <c r="N35" s="376">
        <f t="shared" si="3"/>
        <v>0</v>
      </c>
      <c r="O35" s="376"/>
      <c r="P35" s="376">
        <f t="shared" si="7"/>
        <v>57.336303015297759</v>
      </c>
      <c r="Q35" s="411">
        <f t="shared" si="4"/>
        <v>57.336303015297759</v>
      </c>
      <c r="R35" s="465">
        <f t="shared" si="0"/>
        <v>0.80339620658493804</v>
      </c>
      <c r="S35" s="416">
        <f t="shared" si="1"/>
        <v>0.64683903605157411</v>
      </c>
      <c r="T35" s="464">
        <f t="shared" si="2"/>
        <v>0.52189250088258554</v>
      </c>
      <c r="U35" s="464">
        <f t="shared" si="5"/>
        <v>0.49684565359545868</v>
      </c>
    </row>
    <row r="36" spans="2:21">
      <c r="D36" s="12"/>
      <c r="K36" s="410">
        <v>23</v>
      </c>
      <c r="L36" s="378"/>
      <c r="M36" s="376">
        <f t="shared" si="6"/>
        <v>57.336303015297759</v>
      </c>
      <c r="N36" s="376">
        <f t="shared" si="3"/>
        <v>0</v>
      </c>
      <c r="O36" s="376"/>
      <c r="P36" s="376">
        <f t="shared" si="7"/>
        <v>57.336303015297759</v>
      </c>
      <c r="Q36" s="411">
        <f t="shared" si="4"/>
        <v>57.336303015297759</v>
      </c>
      <c r="R36" s="465">
        <f t="shared" si="0"/>
        <v>0.79544178869795856</v>
      </c>
      <c r="S36" s="416">
        <f t="shared" si="1"/>
        <v>0.63415591769762181</v>
      </c>
      <c r="T36" s="464">
        <f t="shared" si="2"/>
        <v>0.50669174842969467</v>
      </c>
      <c r="U36" s="464">
        <f t="shared" si="5"/>
        <v>0.48129725094772402</v>
      </c>
    </row>
    <row r="37" spans="2:21">
      <c r="B37" s="174"/>
      <c r="H37" s="209"/>
      <c r="I37" s="209"/>
      <c r="K37" s="410">
        <v>24</v>
      </c>
      <c r="L37" s="378"/>
      <c r="M37" s="376">
        <f t="shared" si="6"/>
        <v>57.336303015297759</v>
      </c>
      <c r="N37" s="376">
        <f t="shared" si="3"/>
        <v>0</v>
      </c>
      <c r="O37" s="376"/>
      <c r="P37" s="376">
        <f t="shared" si="7"/>
        <v>57.336303015297759</v>
      </c>
      <c r="Q37" s="411">
        <f t="shared" si="4"/>
        <v>57.336303015297759</v>
      </c>
      <c r="R37" s="465">
        <f t="shared" si="0"/>
        <v>0.78756612742372123</v>
      </c>
      <c r="S37" s="416">
        <f t="shared" si="1"/>
        <v>0.62172148793884485</v>
      </c>
      <c r="T37" s="464">
        <f t="shared" si="2"/>
        <v>0.49193373633950943</v>
      </c>
      <c r="U37" s="464">
        <f t="shared" si="5"/>
        <v>0.46623542360390247</v>
      </c>
    </row>
    <row r="38" spans="2:21">
      <c r="C38" s="454">
        <v>4</v>
      </c>
      <c r="K38" s="410">
        <v>25</v>
      </c>
      <c r="L38" s="378"/>
      <c r="M38" s="376">
        <f t="shared" si="6"/>
        <v>57.336303015297759</v>
      </c>
      <c r="N38" s="376">
        <f t="shared" si="3"/>
        <v>250.8</v>
      </c>
      <c r="O38" s="376"/>
      <c r="P38" s="376">
        <f t="shared" si="7"/>
        <v>308.13630301529776</v>
      </c>
      <c r="Q38" s="411">
        <f t="shared" si="4"/>
        <v>308.13630301529776</v>
      </c>
      <c r="R38" s="465">
        <f t="shared" si="0"/>
        <v>0.77976844299378323</v>
      </c>
      <c r="S38" s="416">
        <f t="shared" si="1"/>
        <v>0.60953087052827937</v>
      </c>
      <c r="T38" s="464">
        <f t="shared" si="2"/>
        <v>0.47760556926165965</v>
      </c>
      <c r="U38" s="464">
        <f t="shared" si="5"/>
        <v>0.45164494456404158</v>
      </c>
    </row>
    <row r="39" spans="2:21">
      <c r="C39" s="304" t="s">
        <v>364</v>
      </c>
      <c r="D39" s="305"/>
      <c r="E39" s="305"/>
      <c r="F39" s="305"/>
      <c r="G39" s="305"/>
      <c r="K39" s="410">
        <v>26</v>
      </c>
      <c r="L39" s="378"/>
      <c r="M39" s="376">
        <f t="shared" si="6"/>
        <v>57.336303015297759</v>
      </c>
      <c r="N39" s="376">
        <f t="shared" si="3"/>
        <v>0</v>
      </c>
      <c r="O39" s="376">
        <v>-800</v>
      </c>
      <c r="P39" s="376">
        <f t="shared" si="7"/>
        <v>-742.66369698470226</v>
      </c>
      <c r="Q39" s="411">
        <f t="shared" si="4"/>
        <v>-742.66369698470226</v>
      </c>
      <c r="R39" s="465">
        <f t="shared" si="0"/>
        <v>0.77204796336018144</v>
      </c>
      <c r="S39" s="416">
        <f t="shared" si="1"/>
        <v>0.59757928483164635</v>
      </c>
      <c r="T39" s="464">
        <f t="shared" si="2"/>
        <v>0.46369472743850448</v>
      </c>
      <c r="U39" s="464">
        <f t="shared" si="5"/>
        <v>0.43751106334544237</v>
      </c>
    </row>
    <row r="40" spans="2:21">
      <c r="C40" s="458" t="s">
        <v>322</v>
      </c>
      <c r="D40" s="459" t="s">
        <v>327</v>
      </c>
      <c r="E40" s="459" t="s">
        <v>354</v>
      </c>
      <c r="F40" s="459" t="s">
        <v>353</v>
      </c>
      <c r="G40" s="460" t="s">
        <v>355</v>
      </c>
      <c r="K40" s="410">
        <v>27</v>
      </c>
      <c r="L40" s="378"/>
      <c r="M40" s="376">
        <f t="shared" si="6"/>
        <v>57.336303015297759</v>
      </c>
      <c r="N40" s="376">
        <f t="shared" si="3"/>
        <v>0</v>
      </c>
      <c r="O40" s="376"/>
      <c r="P40" s="376">
        <f t="shared" si="7"/>
        <v>57.336303015297759</v>
      </c>
      <c r="Q40" s="411">
        <f t="shared" si="4"/>
        <v>57.336303015297759</v>
      </c>
      <c r="R40" s="465">
        <f t="shared" si="0"/>
        <v>0.76440392411899183</v>
      </c>
      <c r="S40" s="416">
        <f t="shared" si="1"/>
        <v>0.58586204395259456</v>
      </c>
      <c r="T40" s="464">
        <f t="shared" si="2"/>
        <v>0.45018905576553836</v>
      </c>
      <c r="U40" s="464">
        <f t="shared" si="5"/>
        <v>0.42381949107041905</v>
      </c>
    </row>
    <row r="41" spans="2:21">
      <c r="C41" s="479">
        <v>1</v>
      </c>
      <c r="D41" s="480">
        <v>3.0295231588201244E-2</v>
      </c>
      <c r="E41" s="482">
        <v>34605.559037475425</v>
      </c>
      <c r="F41" s="482">
        <v>10153.428402699599</v>
      </c>
      <c r="G41" s="483">
        <v>2637.5247510351242</v>
      </c>
      <c r="K41" s="410">
        <v>28</v>
      </c>
      <c r="L41" s="378"/>
      <c r="M41" s="376">
        <f t="shared" si="6"/>
        <v>57.336303015297759</v>
      </c>
      <c r="N41" s="376">
        <f t="shared" si="3"/>
        <v>0</v>
      </c>
      <c r="O41" s="376"/>
      <c r="P41" s="376">
        <f t="shared" si="7"/>
        <v>57.336303015297759</v>
      </c>
      <c r="Q41" s="411">
        <f t="shared" si="4"/>
        <v>57.336303015297759</v>
      </c>
      <c r="R41" s="465">
        <f t="shared" si="0"/>
        <v>0.75683556843464528</v>
      </c>
      <c r="S41" s="416">
        <f t="shared" si="1"/>
        <v>0.57437455289470041</v>
      </c>
      <c r="T41" s="464">
        <f t="shared" si="2"/>
        <v>0.4370767531704256</v>
      </c>
      <c r="U41" s="464">
        <f t="shared" si="5"/>
        <v>0.4105563860207242</v>
      </c>
    </row>
    <row r="42" spans="2:21">
      <c r="C42" s="479">
        <v>3</v>
      </c>
      <c r="D42" s="480">
        <v>3.1975033785096363E-2</v>
      </c>
      <c r="E42" s="482">
        <v>36012.937741111804</v>
      </c>
      <c r="F42" s="482">
        <v>11090.156895659373</v>
      </c>
      <c r="G42" s="483">
        <v>3388.706205596196</v>
      </c>
      <c r="J42" s="209"/>
      <c r="K42" s="410">
        <v>29</v>
      </c>
      <c r="L42" s="378"/>
      <c r="M42" s="376">
        <f t="shared" si="6"/>
        <v>57.336303015297759</v>
      </c>
      <c r="N42" s="376">
        <f t="shared" si="3"/>
        <v>0</v>
      </c>
      <c r="O42" s="376"/>
      <c r="P42" s="376">
        <f t="shared" si="7"/>
        <v>57.336303015297759</v>
      </c>
      <c r="Q42" s="411">
        <f t="shared" si="4"/>
        <v>57.336303015297759</v>
      </c>
      <c r="R42" s="465">
        <f t="shared" si="0"/>
        <v>0.74934214696499535</v>
      </c>
      <c r="S42" s="416">
        <f t="shared" si="1"/>
        <v>0.56311230675951029</v>
      </c>
      <c r="T42" s="464">
        <f t="shared" si="2"/>
        <v>0.42434636230138412</v>
      </c>
      <c r="U42" s="464">
        <f t="shared" si="5"/>
        <v>0.39770833964403896</v>
      </c>
    </row>
    <row r="43" spans="2:21">
      <c r="C43" s="479">
        <v>5</v>
      </c>
      <c r="D43" s="480">
        <v>3.2312456625146257E-2</v>
      </c>
      <c r="E43" s="482">
        <v>35539.399117061403</v>
      </c>
      <c r="F43" s="482">
        <v>11086.426724775753</v>
      </c>
      <c r="G43" s="483">
        <v>3512.9152175950085</v>
      </c>
      <c r="K43" s="410">
        <v>30</v>
      </c>
      <c r="L43" s="378"/>
      <c r="M43" s="376">
        <f t="shared" si="6"/>
        <v>57.336303015297759</v>
      </c>
      <c r="N43" s="376">
        <f t="shared" si="3"/>
        <v>501.6</v>
      </c>
      <c r="O43" s="376"/>
      <c r="P43" s="376">
        <f t="shared" si="7"/>
        <v>558.93630301529777</v>
      </c>
      <c r="Q43" s="411">
        <f t="shared" si="4"/>
        <v>558.93630301529777</v>
      </c>
      <c r="R43" s="465">
        <f t="shared" si="0"/>
        <v>0.74192291778712394</v>
      </c>
      <c r="S43" s="416">
        <f t="shared" si="1"/>
        <v>0.55207088897991197</v>
      </c>
      <c r="T43" s="464">
        <f t="shared" si="2"/>
        <v>0.41198675951590691</v>
      </c>
      <c r="U43" s="464">
        <f t="shared" si="5"/>
        <v>0.38526236299837735</v>
      </c>
    </row>
    <row r="44" spans="2:21">
      <c r="C44" s="479">
        <v>10</v>
      </c>
      <c r="D44" s="480">
        <v>3.1701260488461891E-2</v>
      </c>
      <c r="E44" s="482">
        <v>32487.01854459929</v>
      </c>
      <c r="F44" s="482">
        <v>10142.83429139866</v>
      </c>
      <c r="G44" s="483">
        <v>3200.5930768133339</v>
      </c>
      <c r="K44" s="410">
        <v>31</v>
      </c>
      <c r="L44" s="378"/>
      <c r="M44" s="376">
        <f t="shared" si="6"/>
        <v>57.336303015297759</v>
      </c>
      <c r="N44" s="376">
        <f t="shared" si="3"/>
        <v>0</v>
      </c>
      <c r="O44" s="376"/>
      <c r="P44" s="376">
        <f t="shared" si="7"/>
        <v>57.336303015297759</v>
      </c>
      <c r="Q44" s="411">
        <f t="shared" si="4"/>
        <v>57.336303015297759</v>
      </c>
      <c r="R44" s="465">
        <f t="shared" si="0"/>
        <v>0.73457714632388538</v>
      </c>
      <c r="S44" s="416">
        <f t="shared" si="1"/>
        <v>0.54124596958814919</v>
      </c>
      <c r="T44" s="464">
        <f t="shared" si="2"/>
        <v>0.39998714516107459</v>
      </c>
      <c r="U44" s="464">
        <f t="shared" si="5"/>
        <v>0.37320587362070479</v>
      </c>
    </row>
    <row r="45" spans="2:21">
      <c r="C45" s="479">
        <v>15</v>
      </c>
      <c r="D45" s="480">
        <v>3.0210397731235128E-2</v>
      </c>
      <c r="E45" s="482">
        <v>28514.055340291485</v>
      </c>
      <c r="F45" s="482">
        <v>8738.9505420987225</v>
      </c>
      <c r="G45" s="483">
        <v>2581.4100587497678</v>
      </c>
      <c r="K45" s="410">
        <v>32</v>
      </c>
      <c r="L45" s="378"/>
      <c r="M45" s="376">
        <f t="shared" si="6"/>
        <v>57.336303015297759</v>
      </c>
      <c r="N45" s="376">
        <f t="shared" si="3"/>
        <v>0</v>
      </c>
      <c r="O45" s="376"/>
      <c r="P45" s="376">
        <f t="shared" si="7"/>
        <v>57.336303015297759</v>
      </c>
      <c r="Q45" s="411">
        <f t="shared" ref="Q45:Q62" si="11">N45+O45+M45+L45</f>
        <v>57.336303015297759</v>
      </c>
      <c r="R45" s="465">
        <f t="shared" ref="R45:R63" si="12">1/(1+R$11)^K45</f>
        <v>0.7273041052711734</v>
      </c>
      <c r="S45" s="416">
        <f t="shared" ref="S45:S63" si="13">1/(1+S$11)^K45</f>
        <v>0.53063330351779314</v>
      </c>
      <c r="T45" s="464">
        <f t="shared" ref="T45:T63" si="14">1/(1+T$11)^K45</f>
        <v>0.38833703413696569</v>
      </c>
      <c r="U45" s="464">
        <f t="shared" si="5"/>
        <v>0.3615266828064907</v>
      </c>
    </row>
    <row r="46" spans="2:21">
      <c r="C46" s="479">
        <v>20</v>
      </c>
      <c r="D46" s="480">
        <v>2.8167689361807691E-2</v>
      </c>
      <c r="E46" s="482">
        <v>24164.186421883263</v>
      </c>
      <c r="F46" s="482">
        <v>7146.6139357485672</v>
      </c>
      <c r="G46" s="483">
        <v>1836.5918026527218</v>
      </c>
      <c r="K46" s="410">
        <v>33</v>
      </c>
      <c r="L46" s="378"/>
      <c r="M46" s="376">
        <f t="shared" si="6"/>
        <v>57.336303015297759</v>
      </c>
      <c r="N46" s="376">
        <f t="shared" si="3"/>
        <v>0</v>
      </c>
      <c r="O46" s="376"/>
      <c r="P46" s="376">
        <f t="shared" si="7"/>
        <v>57.336303015297759</v>
      </c>
      <c r="Q46" s="411">
        <f t="shared" si="11"/>
        <v>57.336303015297759</v>
      </c>
      <c r="R46" s="465">
        <f t="shared" si="12"/>
        <v>0.72010307452591427</v>
      </c>
      <c r="S46" s="416">
        <f t="shared" si="13"/>
        <v>0.52022872893901284</v>
      </c>
      <c r="T46" s="464">
        <f t="shared" si="14"/>
        <v>0.37702624673491814</v>
      </c>
      <c r="U46" s="464">
        <f t="shared" si="5"/>
        <v>0.3502129832873398</v>
      </c>
    </row>
    <row r="47" spans="2:21">
      <c r="C47" s="479"/>
      <c r="D47" s="482"/>
      <c r="E47" s="482"/>
      <c r="F47" s="482"/>
      <c r="G47" s="483"/>
      <c r="K47" s="410">
        <v>34</v>
      </c>
      <c r="L47" s="378"/>
      <c r="M47" s="376">
        <f t="shared" si="6"/>
        <v>57.336303015297759</v>
      </c>
      <c r="N47" s="376">
        <f t="shared" si="3"/>
        <v>0</v>
      </c>
      <c r="O47" s="376"/>
      <c r="P47" s="376">
        <f t="shared" si="7"/>
        <v>57.336303015297759</v>
      </c>
      <c r="Q47" s="411">
        <f t="shared" si="11"/>
        <v>57.336303015297759</v>
      </c>
      <c r="R47" s="465">
        <f t="shared" si="12"/>
        <v>0.71297334111476662</v>
      </c>
      <c r="S47" s="416">
        <f t="shared" si="13"/>
        <v>0.51002816562648323</v>
      </c>
      <c r="T47" s="464">
        <f t="shared" si="14"/>
        <v>0.36604489974263904</v>
      </c>
      <c r="U47" s="464">
        <f t="shared" si="5"/>
        <v>0.33925333729424123</v>
      </c>
    </row>
    <row r="48" spans="2:21">
      <c r="C48" s="479"/>
      <c r="D48" s="484"/>
      <c r="E48" s="485"/>
      <c r="F48" s="485"/>
      <c r="G48" s="486"/>
      <c r="K48" s="410">
        <v>35</v>
      </c>
      <c r="L48" s="378"/>
      <c r="M48" s="376">
        <f t="shared" si="6"/>
        <v>57.336303015297759</v>
      </c>
      <c r="N48" s="376">
        <f t="shared" si="3"/>
        <v>765.6</v>
      </c>
      <c r="O48" s="376"/>
      <c r="P48" s="376">
        <f t="shared" si="7"/>
        <v>822.93630301529777</v>
      </c>
      <c r="Q48" s="411">
        <f t="shared" si="11"/>
        <v>822.93630301529777</v>
      </c>
      <c r="R48" s="465">
        <f t="shared" si="12"/>
        <v>0.70591419912353137</v>
      </c>
      <c r="S48" s="416">
        <f t="shared" si="13"/>
        <v>0.50002761335929735</v>
      </c>
      <c r="T48" s="464">
        <f t="shared" si="14"/>
        <v>0.35538339780838735</v>
      </c>
      <c r="U48" s="464">
        <f t="shared" si="5"/>
        <v>0.32863666499436955</v>
      </c>
    </row>
    <row r="49" spans="3:21">
      <c r="C49" s="479"/>
      <c r="D49" s="482"/>
      <c r="E49" s="482"/>
      <c r="F49" s="482"/>
      <c r="G49" s="483"/>
      <c r="K49" s="410">
        <v>36</v>
      </c>
      <c r="L49" s="378"/>
      <c r="M49" s="376">
        <f t="shared" si="6"/>
        <v>57.336303015297759</v>
      </c>
      <c r="N49" s="376">
        <f t="shared" si="3"/>
        <v>0</v>
      </c>
      <c r="O49" s="376"/>
      <c r="P49" s="376">
        <f t="shared" si="7"/>
        <v>57.336303015297759</v>
      </c>
      <c r="Q49" s="411">
        <f t="shared" si="11"/>
        <v>57.336303015297759</v>
      </c>
      <c r="R49" s="465">
        <f t="shared" si="12"/>
        <v>0.69892494962725871</v>
      </c>
      <c r="S49" s="416">
        <f t="shared" si="13"/>
        <v>0.49022315035225233</v>
      </c>
      <c r="T49" s="464">
        <f t="shared" si="14"/>
        <v>0.34503242505668674</v>
      </c>
      <c r="U49" s="464">
        <f t="shared" si="5"/>
        <v>0.31835223328974682</v>
      </c>
    </row>
    <row r="50" spans="3:21">
      <c r="C50" s="479"/>
      <c r="D50" s="482"/>
      <c r="E50" s="482"/>
      <c r="F50" s="482"/>
      <c r="G50" s="483"/>
      <c r="K50" s="410">
        <v>37</v>
      </c>
      <c r="L50" s="378"/>
      <c r="M50" s="376">
        <f t="shared" si="6"/>
        <v>57.336303015297759</v>
      </c>
      <c r="N50" s="376">
        <f t="shared" si="3"/>
        <v>0</v>
      </c>
      <c r="O50" s="376"/>
      <c r="P50" s="376">
        <f t="shared" si="7"/>
        <v>57.336303015297759</v>
      </c>
      <c r="Q50" s="411">
        <f t="shared" si="11"/>
        <v>57.336303015297759</v>
      </c>
      <c r="R50" s="465">
        <f t="shared" si="12"/>
        <v>0.69200490062104825</v>
      </c>
      <c r="S50" s="416">
        <f t="shared" si="13"/>
        <v>0.48061093171789437</v>
      </c>
      <c r="T50" s="464">
        <f t="shared" si="14"/>
        <v>0.33498293694823961</v>
      </c>
      <c r="U50" s="464">
        <f t="shared" si="5"/>
        <v>0.30838964496644278</v>
      </c>
    </row>
    <row r="51" spans="3:21">
      <c r="C51" s="479"/>
      <c r="D51" s="482"/>
      <c r="E51" s="482"/>
      <c r="F51" s="482"/>
      <c r="G51" s="483"/>
      <c r="K51" s="410">
        <v>38</v>
      </c>
      <c r="L51" s="378"/>
      <c r="M51" s="376">
        <f t="shared" si="6"/>
        <v>57.336303015297759</v>
      </c>
      <c r="N51" s="376">
        <f t="shared" si="3"/>
        <v>0</v>
      </c>
      <c r="O51" s="376"/>
      <c r="P51" s="376">
        <f t="shared" si="7"/>
        <v>57.336303015297759</v>
      </c>
      <c r="Q51" s="411">
        <f t="shared" si="11"/>
        <v>57.336303015297759</v>
      </c>
      <c r="R51" s="465">
        <f t="shared" si="12"/>
        <v>0.68515336695153284</v>
      </c>
      <c r="S51" s="416">
        <f t="shared" si="13"/>
        <v>0.47118718795871989</v>
      </c>
      <c r="T51" s="464">
        <f t="shared" si="14"/>
        <v>0.3252261523769317</v>
      </c>
      <c r="U51" s="464">
        <f t="shared" si="5"/>
        <v>0.29873882818334102</v>
      </c>
    </row>
    <row r="52" spans="3:21">
      <c r="C52" s="481"/>
      <c r="D52" s="487"/>
      <c r="E52" s="487"/>
      <c r="F52" s="487"/>
      <c r="G52" s="488"/>
      <c r="K52" s="410">
        <v>39</v>
      </c>
      <c r="L52" s="378"/>
      <c r="M52" s="376">
        <f t="shared" si="6"/>
        <v>57.336303015297759</v>
      </c>
      <c r="N52" s="376">
        <f t="shared" si="3"/>
        <v>0</v>
      </c>
      <c r="O52" s="376"/>
      <c r="P52" s="376">
        <f t="shared" si="7"/>
        <v>57.336303015297759</v>
      </c>
      <c r="Q52" s="411">
        <f t="shared" si="11"/>
        <v>57.336303015297759</v>
      </c>
      <c r="R52" s="465">
        <f t="shared" si="12"/>
        <v>0.6783696702490426</v>
      </c>
      <c r="S52" s="416">
        <f t="shared" si="13"/>
        <v>0.46194822348894127</v>
      </c>
      <c r="T52" s="464">
        <f t="shared" si="14"/>
        <v>0.31575354599702099</v>
      </c>
      <c r="U52" s="464">
        <f t="shared" si="5"/>
        <v>0.28939002628984806</v>
      </c>
    </row>
    <row r="53" spans="3:21">
      <c r="K53" s="410">
        <v>40</v>
      </c>
      <c r="L53" s="378"/>
      <c r="M53" s="376">
        <f t="shared" si="6"/>
        <v>57.336303015297759</v>
      </c>
      <c r="N53" s="376">
        <f t="shared" si="3"/>
        <v>1254</v>
      </c>
      <c r="O53" s="376"/>
      <c r="P53" s="376">
        <f t="shared" si="7"/>
        <v>1311.3363030152977</v>
      </c>
      <c r="Q53" s="411">
        <f t="shared" si="11"/>
        <v>1311.3363030152977</v>
      </c>
      <c r="R53" s="465">
        <f t="shared" si="12"/>
        <v>0.67165313886043809</v>
      </c>
      <c r="S53" s="416">
        <f t="shared" si="13"/>
        <v>0.45289041518523643</v>
      </c>
      <c r="T53" s="464">
        <f t="shared" si="14"/>
        <v>0.30655684077380685</v>
      </c>
      <c r="U53" s="464">
        <f t="shared" si="5"/>
        <v>0.28033378796224723</v>
      </c>
    </row>
    <row r="54" spans="3:21">
      <c r="K54" s="410">
        <v>41</v>
      </c>
      <c r="L54" s="378"/>
      <c r="M54" s="376">
        <f t="shared" si="6"/>
        <v>57.336303015297759</v>
      </c>
      <c r="N54" s="376">
        <f t="shared" si="3"/>
        <v>0</v>
      </c>
      <c r="O54" s="376"/>
      <c r="P54" s="376">
        <f t="shared" si="7"/>
        <v>57.336303015297759</v>
      </c>
      <c r="Q54" s="411">
        <f t="shared" si="11"/>
        <v>57.336303015297759</v>
      </c>
      <c r="R54" s="465">
        <f t="shared" si="12"/>
        <v>0.66500310778261185</v>
      </c>
      <c r="S54" s="416">
        <f t="shared" si="13"/>
        <v>0.44401021096591808</v>
      </c>
      <c r="T54" s="464">
        <f t="shared" si="14"/>
        <v>0.29762800075126877</v>
      </c>
      <c r="U54" s="464">
        <f t="shared" si="5"/>
        <v>0.27156095764872973</v>
      </c>
    </row>
    <row r="55" spans="3:21">
      <c r="K55" s="410">
        <v>42</v>
      </c>
      <c r="L55" s="378"/>
      <c r="M55" s="376">
        <f t="shared" si="6"/>
        <v>57.336303015297759</v>
      </c>
      <c r="N55" s="376">
        <f t="shared" si="3"/>
        <v>0</v>
      </c>
      <c r="O55" s="376"/>
      <c r="P55" s="376">
        <f t="shared" si="7"/>
        <v>57.336303015297759</v>
      </c>
      <c r="Q55" s="411">
        <f t="shared" si="11"/>
        <v>57.336303015297759</v>
      </c>
      <c r="R55" s="465">
        <f t="shared" si="12"/>
        <v>0.65841891859664536</v>
      </c>
      <c r="S55" s="416">
        <f t="shared" si="13"/>
        <v>0.4353041283979589</v>
      </c>
      <c r="T55" s="464">
        <f t="shared" si="14"/>
        <v>0.28895922403035801</v>
      </c>
      <c r="U55" s="464">
        <f t="shared" si="5"/>
        <v>0.26306266631343961</v>
      </c>
    </row>
    <row r="56" spans="3:21">
      <c r="H56" s="454">
        <v>5</v>
      </c>
      <c r="I56" s="18" t="s">
        <v>464</v>
      </c>
      <c r="K56" s="410">
        <v>43</v>
      </c>
      <c r="L56" s="378"/>
      <c r="M56" s="376">
        <f t="shared" si="6"/>
        <v>57.336303015297759</v>
      </c>
      <c r="N56" s="376">
        <f t="shared" si="3"/>
        <v>0</v>
      </c>
      <c r="O56" s="376"/>
      <c r="P56" s="376">
        <f t="shared" si="7"/>
        <v>57.336303015297759</v>
      </c>
      <c r="Q56" s="411">
        <f t="shared" si="11"/>
        <v>57.336303015297759</v>
      </c>
      <c r="R56" s="465">
        <f t="shared" si="12"/>
        <v>0.65189991940261938</v>
      </c>
      <c r="S56" s="416">
        <f t="shared" si="13"/>
        <v>0.4267687533313323</v>
      </c>
      <c r="T56" s="464">
        <f t="shared" si="14"/>
        <v>0.28054293595180391</v>
      </c>
      <c r="U56" s="464">
        <f t="shared" si="5"/>
        <v>0.25483032247017773</v>
      </c>
    </row>
    <row r="57" spans="3:21">
      <c r="H57" s="461"/>
      <c r="I57" s="489" t="s">
        <v>322</v>
      </c>
      <c r="K57" s="410">
        <v>44</v>
      </c>
      <c r="L57" s="378"/>
      <c r="M57" s="376">
        <f t="shared" si="6"/>
        <v>57.336303015297759</v>
      </c>
      <c r="N57" s="376">
        <f t="shared" si="3"/>
        <v>0</v>
      </c>
      <c r="O57" s="376"/>
      <c r="P57" s="376">
        <f t="shared" si="7"/>
        <v>57.336303015297759</v>
      </c>
      <c r="Q57" s="411">
        <f t="shared" si="11"/>
        <v>57.336303015297759</v>
      </c>
      <c r="R57" s="465">
        <f t="shared" si="12"/>
        <v>0.64544546475506859</v>
      </c>
      <c r="S57" s="416">
        <f t="shared" si="13"/>
        <v>0.41840073856012966</v>
      </c>
      <c r="T57" s="464">
        <f t="shared" si="14"/>
        <v>0.27237178247747956</v>
      </c>
      <c r="U57" s="464">
        <f t="shared" si="5"/>
        <v>0.24685560349669855</v>
      </c>
    </row>
    <row r="58" spans="3:21">
      <c r="H58" s="490" t="s">
        <v>366</v>
      </c>
      <c r="I58" s="491" t="s">
        <v>365</v>
      </c>
      <c r="K58" s="410">
        <v>45</v>
      </c>
      <c r="L58" s="378"/>
      <c r="M58" s="376">
        <f t="shared" si="6"/>
        <v>57.336303015297759</v>
      </c>
      <c r="N58" s="376">
        <f t="shared" si="3"/>
        <v>1936</v>
      </c>
      <c r="O58" s="376"/>
      <c r="P58" s="376">
        <f t="shared" si="7"/>
        <v>1993.3363030152977</v>
      </c>
      <c r="Q58" s="411">
        <f t="shared" si="11"/>
        <v>1993.3363030152977</v>
      </c>
      <c r="R58" s="465">
        <f t="shared" si="12"/>
        <v>0.63905491559907779</v>
      </c>
      <c r="S58" s="416">
        <f t="shared" si="13"/>
        <v>0.41019680250993107</v>
      </c>
      <c r="T58" s="464">
        <f t="shared" si="14"/>
        <v>0.26443862376454325</v>
      </c>
      <c r="U58" s="464">
        <f t="shared" si="5"/>
        <v>0.2391304472208195</v>
      </c>
    </row>
    <row r="59" spans="3:21">
      <c r="H59" s="492" t="s">
        <v>327</v>
      </c>
      <c r="I59" s="493">
        <v>6.8</v>
      </c>
      <c r="K59" s="410">
        <v>46</v>
      </c>
      <c r="L59" s="378"/>
      <c r="M59" s="376">
        <f t="shared" si="6"/>
        <v>57.336303015297759</v>
      </c>
      <c r="N59" s="376">
        <f t="shared" si="3"/>
        <v>0</v>
      </c>
      <c r="O59" s="376"/>
      <c r="P59" s="376">
        <f t="shared" si="7"/>
        <v>57.336303015297759</v>
      </c>
      <c r="Q59" s="411">
        <f t="shared" si="11"/>
        <v>57.336303015297759</v>
      </c>
      <c r="R59" s="465">
        <f t="shared" si="12"/>
        <v>0.63272763920700759</v>
      </c>
      <c r="S59" s="416">
        <f t="shared" si="13"/>
        <v>0.40215372795091275</v>
      </c>
      <c r="T59" s="464">
        <f t="shared" si="14"/>
        <v>0.25673652792674101</v>
      </c>
      <c r="U59" s="464">
        <f t="shared" si="5"/>
        <v>0.23164704376983647</v>
      </c>
    </row>
    <row r="60" spans="3:21">
      <c r="H60" s="492" t="s">
        <v>275</v>
      </c>
      <c r="I60" s="494">
        <v>5.4</v>
      </c>
      <c r="K60" s="410">
        <v>47</v>
      </c>
      <c r="L60" s="378"/>
      <c r="M60" s="376">
        <f t="shared" si="6"/>
        <v>57.336303015297759</v>
      </c>
      <c r="N60" s="376">
        <f t="shared" si="3"/>
        <v>0</v>
      </c>
      <c r="O60" s="376"/>
      <c r="P60" s="376">
        <f t="shared" si="7"/>
        <v>57.336303015297759</v>
      </c>
      <c r="Q60" s="411">
        <f t="shared" si="11"/>
        <v>57.336303015297759</v>
      </c>
      <c r="R60" s="465">
        <f t="shared" si="12"/>
        <v>0.6264630091158494</v>
      </c>
      <c r="S60" s="416">
        <f t="shared" si="13"/>
        <v>0.39426836073618909</v>
      </c>
      <c r="T60" s="464">
        <f t="shared" si="14"/>
        <v>0.24925876497741845</v>
      </c>
      <c r="U60" s="464">
        <f t="shared" si="5"/>
        <v>0.22439782767500591</v>
      </c>
    </row>
    <row r="61" spans="3:21">
      <c r="H61" s="495" t="s">
        <v>367</v>
      </c>
      <c r="I61" s="496">
        <v>3</v>
      </c>
      <c r="K61" s="410">
        <v>48</v>
      </c>
      <c r="L61" s="378"/>
      <c r="M61" s="376">
        <f t="shared" si="6"/>
        <v>57.336303015297759</v>
      </c>
      <c r="N61" s="376">
        <f t="shared" si="3"/>
        <v>0</v>
      </c>
      <c r="O61" s="376"/>
      <c r="P61" s="376">
        <f t="shared" si="7"/>
        <v>57.336303015297759</v>
      </c>
      <c r="Q61" s="411">
        <f t="shared" si="11"/>
        <v>57.336303015297759</v>
      </c>
      <c r="R61" s="465">
        <f t="shared" si="12"/>
        <v>0.6202604050651972</v>
      </c>
      <c r="S61" s="416">
        <f t="shared" si="13"/>
        <v>0.38653760856489122</v>
      </c>
      <c r="T61" s="464">
        <f t="shared" si="14"/>
        <v>0.24199880094894996</v>
      </c>
      <c r="U61" s="464">
        <f t="shared" si="5"/>
        <v>0.21737547022311043</v>
      </c>
    </row>
    <row r="62" spans="3:21">
      <c r="H62" s="492" t="s">
        <v>368</v>
      </c>
      <c r="I62" s="494">
        <v>3.9</v>
      </c>
      <c r="K62" s="410">
        <v>49</v>
      </c>
      <c r="L62" s="378"/>
      <c r="M62" s="376">
        <f t="shared" si="6"/>
        <v>57.336303015297759</v>
      </c>
      <c r="N62" s="376">
        <f t="shared" si="3"/>
        <v>0</v>
      </c>
      <c r="O62" s="376"/>
      <c r="P62" s="376">
        <f t="shared" si="7"/>
        <v>57.336303015297759</v>
      </c>
      <c r="Q62" s="411">
        <f t="shared" si="11"/>
        <v>57.336303015297759</v>
      </c>
      <c r="R62" s="465">
        <f t="shared" si="12"/>
        <v>0.61411921293583871</v>
      </c>
      <c r="S62" s="416">
        <f t="shared" si="13"/>
        <v>0.37895843976950117</v>
      </c>
      <c r="T62" s="464">
        <f t="shared" si="14"/>
        <v>0.2349502921834466</v>
      </c>
      <c r="U62" s="464">
        <f t="shared" si="5"/>
        <v>0.21057287204737699</v>
      </c>
    </row>
    <row r="63" spans="3:21">
      <c r="H63" s="490" t="s">
        <v>369</v>
      </c>
      <c r="I63" s="497">
        <v>5.0999999999999996</v>
      </c>
      <c r="K63" s="412">
        <v>50</v>
      </c>
      <c r="L63" s="413">
        <v>2500</v>
      </c>
      <c r="M63" s="379">
        <f t="shared" si="6"/>
        <v>57.336303015297759</v>
      </c>
      <c r="N63" s="379">
        <f t="shared" si="3"/>
        <v>24520.32</v>
      </c>
      <c r="O63" s="379"/>
      <c r="P63" s="379">
        <f t="shared" si="7"/>
        <v>24577.656303015297</v>
      </c>
      <c r="Q63" s="414">
        <f>N63+O63+M63+L63</f>
        <v>27077.656303015297</v>
      </c>
      <c r="R63" s="466">
        <f t="shared" si="12"/>
        <v>0.60803882468894921</v>
      </c>
      <c r="S63" s="467">
        <f t="shared" si="13"/>
        <v>0.37152788212696192</v>
      </c>
      <c r="T63" s="468">
        <f t="shared" si="14"/>
        <v>0.22810707978975397</v>
      </c>
      <c r="U63" s="469">
        <f t="shared" si="5"/>
        <v>0.20398315595025615</v>
      </c>
    </row>
    <row r="64" spans="3:21">
      <c r="H64" s="492" t="s">
        <v>370</v>
      </c>
      <c r="I64" s="494">
        <v>3</v>
      </c>
      <c r="P64" s="473" t="s">
        <v>327</v>
      </c>
      <c r="Q64" s="470" t="s">
        <v>275</v>
      </c>
      <c r="R64" s="471" t="s">
        <v>367</v>
      </c>
      <c r="S64" s="471" t="s">
        <v>368</v>
      </c>
      <c r="T64" s="471" t="s">
        <v>369</v>
      </c>
      <c r="U64" s="476" t="s">
        <v>378</v>
      </c>
    </row>
    <row r="65" spans="8:21">
      <c r="H65" s="492" t="s">
        <v>371</v>
      </c>
      <c r="I65" s="494">
        <v>3.9</v>
      </c>
      <c r="P65" s="474">
        <f>IRR(P13:P63)</f>
        <v>4.0622539423197157E-2</v>
      </c>
      <c r="Q65" s="470">
        <f>IRR(Q13:Q63)</f>
        <v>3.2305197291256249E-2</v>
      </c>
      <c r="R65" s="472">
        <f>SUMPRODUCT($P13:$P63,R13:R63)*(1+R11)^$K$63/((1+R11)^$K$63-1)</f>
        <v>35068.73778875127</v>
      </c>
      <c r="S65" s="472">
        <f t="shared" ref="S65:U65" si="15">SUMPRODUCT($P13:$P63,S13:S63)*(1+S11)^$K$63/((1+S11)^$K$63-1)</f>
        <v>10967.615631191489</v>
      </c>
      <c r="T65" s="472">
        <f t="shared" si="15"/>
        <v>3497.0557181661075</v>
      </c>
      <c r="U65" s="477">
        <f t="shared" si="15"/>
        <v>2499.9999998941025</v>
      </c>
    </row>
    <row r="66" spans="8:21">
      <c r="H66" s="492" t="s">
        <v>372</v>
      </c>
      <c r="I66" s="494">
        <v>5.0999999999999996</v>
      </c>
      <c r="P66" s="241"/>
      <c r="Q66" s="241"/>
      <c r="R66" s="478" t="s">
        <v>370</v>
      </c>
      <c r="S66" s="478" t="s">
        <v>371</v>
      </c>
      <c r="T66" s="478" t="s">
        <v>372</v>
      </c>
      <c r="U66" s="478" t="s">
        <v>376</v>
      </c>
    </row>
    <row r="67" spans="8:21">
      <c r="H67" s="495" t="s">
        <v>373</v>
      </c>
      <c r="I67" s="496">
        <v>3</v>
      </c>
      <c r="P67" s="241"/>
      <c r="Q67" s="241"/>
      <c r="R67" s="475">
        <f>SUMPRODUCT($P13:$P63,R13:R63)</f>
        <v>13745.583680354008</v>
      </c>
      <c r="S67" s="475">
        <f t="shared" ref="S67:T67" si="16">SUMPRODUCT($P13:$P63,S13:S63)</f>
        <v>6892.8406237523523</v>
      </c>
      <c r="T67" s="475">
        <f t="shared" si="16"/>
        <v>2699.352550433176</v>
      </c>
      <c r="U67" s="475">
        <f>SUMPRODUCT($P13:$P63,U13:U63)</f>
        <v>1990.0421100400636</v>
      </c>
    </row>
    <row r="68" spans="8:21">
      <c r="H68" s="492" t="s">
        <v>374</v>
      </c>
      <c r="I68" s="494">
        <v>3.9</v>
      </c>
      <c r="P68" s="241"/>
      <c r="Q68" s="241"/>
      <c r="R68" s="478" t="s">
        <v>373</v>
      </c>
      <c r="S68" s="478" t="s">
        <v>374</v>
      </c>
      <c r="T68" s="478" t="s">
        <v>375</v>
      </c>
      <c r="U68" s="478" t="s">
        <v>377</v>
      </c>
    </row>
    <row r="69" spans="8:21">
      <c r="H69" s="490" t="s">
        <v>375</v>
      </c>
      <c r="I69" s="497">
        <v>5.0999999999999996</v>
      </c>
      <c r="P69" s="241"/>
      <c r="Q69" s="241"/>
      <c r="R69" s="404">
        <f>R67-$L$63 * ((1+R$11)^$K$63 -1)/(1+R$11)^$K$63</f>
        <v>12765.68074207638</v>
      </c>
      <c r="S69" s="404">
        <f t="shared" ref="S69:U69" si="17">S67-$L$63 * ((1+S$11)^$K$63 -1)/(1+S$11)^$K$63</f>
        <v>5321.6603290697567</v>
      </c>
      <c r="T69" s="404">
        <f t="shared" si="17"/>
        <v>769.62024990756095</v>
      </c>
      <c r="U69" s="404">
        <f t="shared" si="17"/>
        <v>-8.429628906014841E-8</v>
      </c>
    </row>
    <row r="70" spans="8:21">
      <c r="H70" s="212"/>
      <c r="R70" s="214"/>
      <c r="S70" s="214"/>
      <c r="T70" s="214"/>
      <c r="U70" s="214"/>
    </row>
    <row r="71" spans="8:21">
      <c r="R71" s="171"/>
      <c r="S71" s="171"/>
      <c r="T71" s="171"/>
      <c r="U71" s="171"/>
    </row>
  </sheetData>
  <mergeCells count="3">
    <mergeCell ref="G17:H17"/>
    <mergeCell ref="G18:H18"/>
    <mergeCell ref="G19:H19"/>
  </mergeCells>
  <phoneticPr fontId="4" type="noConversion"/>
  <pageMargins left="0.78740157499999996" right="0.78740157499999996" top="0.984251969" bottom="0.984251969" header="0.4921259845" footer="0.4921259845"/>
  <pageSetup paperSize="9" scale="4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H57"/>
  <sheetViews>
    <sheetView topLeftCell="C1" zoomScale="70" zoomScaleNormal="70" workbookViewId="0">
      <selection activeCell="AG24" sqref="AG24"/>
    </sheetView>
  </sheetViews>
  <sheetFormatPr baseColWidth="10" defaultRowHeight="12.75"/>
  <cols>
    <col min="1" max="1" width="2.42578125" style="177" customWidth="1"/>
    <col min="2" max="2" width="11.42578125" style="177"/>
    <col min="3" max="3" width="17.140625" style="177" customWidth="1"/>
    <col min="4" max="15" width="11.42578125" style="177"/>
    <col min="16" max="16" width="14.7109375" style="177" bestFit="1" customWidth="1"/>
    <col min="17" max="29" width="11.42578125" style="177"/>
    <col min="30" max="30" width="59.42578125" style="177" bestFit="1" customWidth="1"/>
    <col min="31" max="31" width="9.85546875" style="177" bestFit="1" customWidth="1"/>
    <col min="32" max="257" width="11.42578125" style="177"/>
    <col min="258" max="258" width="17.140625" style="177" customWidth="1"/>
    <col min="259" max="513" width="11.42578125" style="177"/>
    <col min="514" max="514" width="17.140625" style="177" customWidth="1"/>
    <col min="515" max="769" width="11.42578125" style="177"/>
    <col min="770" max="770" width="17.140625" style="177" customWidth="1"/>
    <col min="771" max="1025" width="11.42578125" style="177"/>
    <col min="1026" max="1026" width="17.140625" style="177" customWidth="1"/>
    <col min="1027" max="1281" width="11.42578125" style="177"/>
    <col min="1282" max="1282" width="17.140625" style="177" customWidth="1"/>
    <col min="1283" max="1537" width="11.42578125" style="177"/>
    <col min="1538" max="1538" width="17.140625" style="177" customWidth="1"/>
    <col min="1539" max="1793" width="11.42578125" style="177"/>
    <col min="1794" max="1794" width="17.140625" style="177" customWidth="1"/>
    <col min="1795" max="2049" width="11.42578125" style="177"/>
    <col min="2050" max="2050" width="17.140625" style="177" customWidth="1"/>
    <col min="2051" max="2305" width="11.42578125" style="177"/>
    <col min="2306" max="2306" width="17.140625" style="177" customWidth="1"/>
    <col min="2307" max="2561" width="11.42578125" style="177"/>
    <col min="2562" max="2562" width="17.140625" style="177" customWidth="1"/>
    <col min="2563" max="2817" width="11.42578125" style="177"/>
    <col min="2818" max="2818" width="17.140625" style="177" customWidth="1"/>
    <col min="2819" max="3073" width="11.42578125" style="177"/>
    <col min="3074" max="3074" width="17.140625" style="177" customWidth="1"/>
    <col min="3075" max="3329" width="11.42578125" style="177"/>
    <col min="3330" max="3330" width="17.140625" style="177" customWidth="1"/>
    <col min="3331" max="3585" width="11.42578125" style="177"/>
    <col min="3586" max="3586" width="17.140625" style="177" customWidth="1"/>
    <col min="3587" max="3841" width="11.42578125" style="177"/>
    <col min="3842" max="3842" width="17.140625" style="177" customWidth="1"/>
    <col min="3843" max="4097" width="11.42578125" style="177"/>
    <col min="4098" max="4098" width="17.140625" style="177" customWidth="1"/>
    <col min="4099" max="4353" width="11.42578125" style="177"/>
    <col min="4354" max="4354" width="17.140625" style="177" customWidth="1"/>
    <col min="4355" max="4609" width="11.42578125" style="177"/>
    <col min="4610" max="4610" width="17.140625" style="177" customWidth="1"/>
    <col min="4611" max="4865" width="11.42578125" style="177"/>
    <col min="4866" max="4866" width="17.140625" style="177" customWidth="1"/>
    <col min="4867" max="5121" width="11.42578125" style="177"/>
    <col min="5122" max="5122" width="17.140625" style="177" customWidth="1"/>
    <col min="5123" max="5377" width="11.42578125" style="177"/>
    <col min="5378" max="5378" width="17.140625" style="177" customWidth="1"/>
    <col min="5379" max="5633" width="11.42578125" style="177"/>
    <col min="5634" max="5634" width="17.140625" style="177" customWidth="1"/>
    <col min="5635" max="5889" width="11.42578125" style="177"/>
    <col min="5890" max="5890" width="17.140625" style="177" customWidth="1"/>
    <col min="5891" max="6145" width="11.42578125" style="177"/>
    <col min="6146" max="6146" width="17.140625" style="177" customWidth="1"/>
    <col min="6147" max="6401" width="11.42578125" style="177"/>
    <col min="6402" max="6402" width="17.140625" style="177" customWidth="1"/>
    <col min="6403" max="6657" width="11.42578125" style="177"/>
    <col min="6658" max="6658" width="17.140625" style="177" customWidth="1"/>
    <col min="6659" max="6913" width="11.42578125" style="177"/>
    <col min="6914" max="6914" width="17.140625" style="177" customWidth="1"/>
    <col min="6915" max="7169" width="11.42578125" style="177"/>
    <col min="7170" max="7170" width="17.140625" style="177" customWidth="1"/>
    <col min="7171" max="7425" width="11.42578125" style="177"/>
    <col min="7426" max="7426" width="17.140625" style="177" customWidth="1"/>
    <col min="7427" max="7681" width="11.42578125" style="177"/>
    <col min="7682" max="7682" width="17.140625" style="177" customWidth="1"/>
    <col min="7683" max="7937" width="11.42578125" style="177"/>
    <col min="7938" max="7938" width="17.140625" style="177" customWidth="1"/>
    <col min="7939" max="8193" width="11.42578125" style="177"/>
    <col min="8194" max="8194" width="17.140625" style="177" customWidth="1"/>
    <col min="8195" max="8449" width="11.42578125" style="177"/>
    <col min="8450" max="8450" width="17.140625" style="177" customWidth="1"/>
    <col min="8451" max="8705" width="11.42578125" style="177"/>
    <col min="8706" max="8706" width="17.140625" style="177" customWidth="1"/>
    <col min="8707" max="8961" width="11.42578125" style="177"/>
    <col min="8962" max="8962" width="17.140625" style="177" customWidth="1"/>
    <col min="8963" max="9217" width="11.42578125" style="177"/>
    <col min="9218" max="9218" width="17.140625" style="177" customWidth="1"/>
    <col min="9219" max="9473" width="11.42578125" style="177"/>
    <col min="9474" max="9474" width="17.140625" style="177" customWidth="1"/>
    <col min="9475" max="9729" width="11.42578125" style="177"/>
    <col min="9730" max="9730" width="17.140625" style="177" customWidth="1"/>
    <col min="9731" max="9985" width="11.42578125" style="177"/>
    <col min="9986" max="9986" width="17.140625" style="177" customWidth="1"/>
    <col min="9987" max="10241" width="11.42578125" style="177"/>
    <col min="10242" max="10242" width="17.140625" style="177" customWidth="1"/>
    <col min="10243" max="10497" width="11.42578125" style="177"/>
    <col min="10498" max="10498" width="17.140625" style="177" customWidth="1"/>
    <col min="10499" max="10753" width="11.42578125" style="177"/>
    <col min="10754" max="10754" width="17.140625" style="177" customWidth="1"/>
    <col min="10755" max="11009" width="11.42578125" style="177"/>
    <col min="11010" max="11010" width="17.140625" style="177" customWidth="1"/>
    <col min="11011" max="11265" width="11.42578125" style="177"/>
    <col min="11266" max="11266" width="17.140625" style="177" customWidth="1"/>
    <col min="11267" max="11521" width="11.42578125" style="177"/>
    <col min="11522" max="11522" width="17.140625" style="177" customWidth="1"/>
    <col min="11523" max="11777" width="11.42578125" style="177"/>
    <col min="11778" max="11778" width="17.140625" style="177" customWidth="1"/>
    <col min="11779" max="12033" width="11.42578125" style="177"/>
    <col min="12034" max="12034" width="17.140625" style="177" customWidth="1"/>
    <col min="12035" max="12289" width="11.42578125" style="177"/>
    <col min="12290" max="12290" width="17.140625" style="177" customWidth="1"/>
    <col min="12291" max="12545" width="11.42578125" style="177"/>
    <col min="12546" max="12546" width="17.140625" style="177" customWidth="1"/>
    <col min="12547" max="12801" width="11.42578125" style="177"/>
    <col min="12802" max="12802" width="17.140625" style="177" customWidth="1"/>
    <col min="12803" max="13057" width="11.42578125" style="177"/>
    <col min="13058" max="13058" width="17.140625" style="177" customWidth="1"/>
    <col min="13059" max="13313" width="11.42578125" style="177"/>
    <col min="13314" max="13314" width="17.140625" style="177" customWidth="1"/>
    <col min="13315" max="13569" width="11.42578125" style="177"/>
    <col min="13570" max="13570" width="17.140625" style="177" customWidth="1"/>
    <col min="13571" max="13825" width="11.42578125" style="177"/>
    <col min="13826" max="13826" width="17.140625" style="177" customWidth="1"/>
    <col min="13827" max="14081" width="11.42578125" style="177"/>
    <col min="14082" max="14082" width="17.140625" style="177" customWidth="1"/>
    <col min="14083" max="14337" width="11.42578125" style="177"/>
    <col min="14338" max="14338" width="17.140625" style="177" customWidth="1"/>
    <col min="14339" max="14593" width="11.42578125" style="177"/>
    <col min="14594" max="14594" width="17.140625" style="177" customWidth="1"/>
    <col min="14595" max="14849" width="11.42578125" style="177"/>
    <col min="14850" max="14850" width="17.140625" style="177" customWidth="1"/>
    <col min="14851" max="15105" width="11.42578125" style="177"/>
    <col min="15106" max="15106" width="17.140625" style="177" customWidth="1"/>
    <col min="15107" max="15361" width="11.42578125" style="177"/>
    <col min="15362" max="15362" width="17.140625" style="177" customWidth="1"/>
    <col min="15363" max="15617" width="11.42578125" style="177"/>
    <col min="15618" max="15618" width="17.140625" style="177" customWidth="1"/>
    <col min="15619" max="15873" width="11.42578125" style="177"/>
    <col min="15874" max="15874" width="17.140625" style="177" customWidth="1"/>
    <col min="15875" max="16129" width="11.42578125" style="177"/>
    <col min="16130" max="16130" width="17.140625" style="177" customWidth="1"/>
    <col min="16131" max="16384" width="11.42578125" style="177"/>
  </cols>
  <sheetData>
    <row r="1" spans="2:34">
      <c r="J1" s="177" t="s">
        <v>328</v>
      </c>
      <c r="K1" s="217">
        <v>0.02</v>
      </c>
      <c r="L1"/>
      <c r="M1"/>
      <c r="N1"/>
      <c r="O1"/>
      <c r="P1"/>
      <c r="Q1"/>
      <c r="R1"/>
      <c r="S1"/>
      <c r="T1"/>
      <c r="U1"/>
      <c r="V1"/>
      <c r="W1"/>
      <c r="X1"/>
      <c r="Y1"/>
      <c r="Z1"/>
    </row>
    <row r="2" spans="2:34" ht="16.5" thickBot="1">
      <c r="B2" s="176" t="s">
        <v>29</v>
      </c>
      <c r="J2" s="514" t="s">
        <v>468</v>
      </c>
      <c r="L2" s="16"/>
      <c r="M2" s="16"/>
      <c r="N2" s="16"/>
      <c r="O2" s="16"/>
      <c r="P2" s="16"/>
      <c r="Q2" s="16"/>
      <c r="R2" s="16"/>
      <c r="S2" s="515" t="s">
        <v>469</v>
      </c>
      <c r="T2" s="16"/>
      <c r="U2" s="16"/>
      <c r="V2" s="16"/>
      <c r="W2" s="16"/>
      <c r="X2" s="16"/>
      <c r="Y2" s="16"/>
      <c r="Z2"/>
      <c r="AD2" s="515" t="s">
        <v>558</v>
      </c>
    </row>
    <row r="3" spans="2:34">
      <c r="J3" s="500" t="s">
        <v>384</v>
      </c>
      <c r="K3" s="501"/>
      <c r="L3" s="502"/>
      <c r="M3" s="501"/>
      <c r="N3" s="501"/>
      <c r="O3" s="501"/>
      <c r="P3" s="501"/>
      <c r="Q3" s="503"/>
      <c r="R3" s="16"/>
      <c r="S3" s="500" t="s">
        <v>384</v>
      </c>
      <c r="T3" s="501"/>
      <c r="U3" s="502"/>
      <c r="V3" s="501"/>
      <c r="W3" s="501"/>
      <c r="X3" s="501"/>
      <c r="Y3" s="501"/>
      <c r="Z3" s="501"/>
      <c r="AA3" s="502"/>
      <c r="AB3" s="516"/>
      <c r="AD3" s="779"/>
      <c r="AE3" s="780"/>
      <c r="AF3" s="780"/>
      <c r="AG3" s="780"/>
      <c r="AH3" s="781"/>
    </row>
    <row r="4" spans="2:34">
      <c r="B4" s="177" t="s">
        <v>147</v>
      </c>
      <c r="J4" s="504" t="s">
        <v>381</v>
      </c>
      <c r="K4" s="16">
        <v>0</v>
      </c>
      <c r="M4" s="16"/>
      <c r="N4" s="16"/>
      <c r="O4" s="16"/>
      <c r="P4" s="16"/>
      <c r="Q4" s="148"/>
      <c r="R4" s="16"/>
      <c r="S4" s="504" t="s">
        <v>381</v>
      </c>
      <c r="T4" s="16">
        <v>0</v>
      </c>
      <c r="V4" s="16"/>
      <c r="W4" s="16"/>
      <c r="X4" s="16"/>
      <c r="Y4" s="16"/>
      <c r="Z4" s="16"/>
      <c r="AB4" s="506"/>
      <c r="AD4" s="505"/>
      <c r="AH4" s="506"/>
    </row>
    <row r="5" spans="2:34">
      <c r="B5" s="177" t="s">
        <v>540</v>
      </c>
      <c r="J5" s="505" t="s">
        <v>380</v>
      </c>
      <c r="K5" s="177">
        <v>0</v>
      </c>
      <c r="M5" s="16"/>
      <c r="N5" s="16"/>
      <c r="O5" s="16"/>
      <c r="P5" s="16"/>
      <c r="Q5" s="148"/>
      <c r="R5" s="16"/>
      <c r="S5" s="505" t="s">
        <v>380</v>
      </c>
      <c r="T5" s="177">
        <v>0</v>
      </c>
      <c r="V5" s="16"/>
      <c r="W5" s="16"/>
      <c r="X5" s="16"/>
      <c r="Y5" s="16"/>
      <c r="Z5" s="16"/>
      <c r="AB5" s="506"/>
      <c r="AD5" s="505" t="s">
        <v>565</v>
      </c>
      <c r="AH5" s="506"/>
    </row>
    <row r="6" spans="2:34">
      <c r="J6" s="504" t="s">
        <v>1</v>
      </c>
      <c r="K6" s="53" t="s">
        <v>379</v>
      </c>
      <c r="L6" s="53" t="s">
        <v>288</v>
      </c>
      <c r="M6" s="53" t="s">
        <v>382</v>
      </c>
      <c r="N6" s="53" t="s">
        <v>383</v>
      </c>
      <c r="O6" s="174" t="s">
        <v>285</v>
      </c>
      <c r="P6" s="174" t="s">
        <v>361</v>
      </c>
      <c r="Q6" s="506"/>
      <c r="R6" s="16"/>
      <c r="S6" s="504" t="s">
        <v>1</v>
      </c>
      <c r="T6" s="53" t="s">
        <v>379</v>
      </c>
      <c r="U6" s="53" t="s">
        <v>288</v>
      </c>
      <c r="V6" s="53" t="s">
        <v>382</v>
      </c>
      <c r="W6" s="53" t="s">
        <v>383</v>
      </c>
      <c r="X6" s="174" t="s">
        <v>285</v>
      </c>
      <c r="Y6" s="174" t="s">
        <v>361</v>
      </c>
      <c r="Z6" s="174" t="s">
        <v>393</v>
      </c>
      <c r="AB6" s="506"/>
      <c r="AD6" s="505"/>
      <c r="AH6" s="506"/>
    </row>
    <row r="7" spans="2:34">
      <c r="B7" s="177" t="s">
        <v>148</v>
      </c>
      <c r="J7" s="147">
        <v>0</v>
      </c>
      <c r="K7" s="16">
        <f>K5*K4</f>
        <v>0</v>
      </c>
      <c r="L7" s="16">
        <f>M7*N7</f>
        <v>350</v>
      </c>
      <c r="M7" s="16">
        <v>7</v>
      </c>
      <c r="N7" s="16">
        <v>50</v>
      </c>
      <c r="O7" s="177">
        <f>L7-K7</f>
        <v>350</v>
      </c>
      <c r="P7" s="16">
        <f>1/(1+$K$1)^J7</f>
        <v>1</v>
      </c>
      <c r="Q7" s="506"/>
      <c r="R7" s="16"/>
      <c r="S7" s="147">
        <v>0</v>
      </c>
      <c r="T7" s="16">
        <f>T5*T4</f>
        <v>0</v>
      </c>
      <c r="U7" s="16">
        <f>V7*W7</f>
        <v>350</v>
      </c>
      <c r="V7" s="16">
        <v>7</v>
      </c>
      <c r="W7" s="16">
        <v>50</v>
      </c>
      <c r="X7" s="177">
        <f>U7-T7</f>
        <v>350</v>
      </c>
      <c r="Y7" s="518">
        <f>1/(1+$K$1)^S7</f>
        <v>1</v>
      </c>
      <c r="Z7" s="518">
        <f>(1+$K$1)^(35-J7)</f>
        <v>1.9998895526624547</v>
      </c>
      <c r="AB7" s="506"/>
      <c r="AD7" s="505"/>
      <c r="AH7" s="506"/>
    </row>
    <row r="8" spans="2:34">
      <c r="C8" s="177" t="s">
        <v>1</v>
      </c>
      <c r="D8" s="178">
        <v>0</v>
      </c>
      <c r="E8" s="178">
        <v>5</v>
      </c>
      <c r="F8" s="178">
        <v>10</v>
      </c>
      <c r="G8" s="178">
        <v>35</v>
      </c>
      <c r="J8" s="147">
        <v>5</v>
      </c>
      <c r="K8" s="16"/>
      <c r="L8" s="16">
        <f t="shared" ref="L8:L10" si="0">M8*N8</f>
        <v>1200</v>
      </c>
      <c r="M8" s="16">
        <v>12</v>
      </c>
      <c r="N8" s="16">
        <v>100</v>
      </c>
      <c r="O8" s="177">
        <f t="shared" ref="O8:O10" si="1">L8-K8</f>
        <v>1200</v>
      </c>
      <c r="P8" s="526">
        <f>1/(1+$K$1)^J8</f>
        <v>0.90573080982991594</v>
      </c>
      <c r="Q8" s="506"/>
      <c r="R8" s="16"/>
      <c r="S8" s="147">
        <v>5</v>
      </c>
      <c r="T8" s="16"/>
      <c r="U8" s="16">
        <f t="shared" ref="U8:U10" si="2">V8*W8</f>
        <v>1200</v>
      </c>
      <c r="V8" s="16">
        <v>12</v>
      </c>
      <c r="W8" s="16">
        <v>100</v>
      </c>
      <c r="X8" s="177">
        <f t="shared" ref="X8:X10" si="3">U8-T8</f>
        <v>1200</v>
      </c>
      <c r="Y8" s="518">
        <f>1/(1+$K$1)^S8</f>
        <v>0.90573080982991594</v>
      </c>
      <c r="Z8" s="518">
        <f>(1+$K$1)^(35-J8)</f>
        <v>1.8113615841033535</v>
      </c>
      <c r="AB8" s="506"/>
      <c r="AD8" s="505"/>
      <c r="AH8" s="506"/>
    </row>
    <row r="9" spans="2:34">
      <c r="C9" s="177" t="s">
        <v>149</v>
      </c>
      <c r="D9" s="178">
        <v>7</v>
      </c>
      <c r="E9" s="178">
        <v>12</v>
      </c>
      <c r="F9" s="178">
        <v>23</v>
      </c>
      <c r="G9" s="178">
        <v>60</v>
      </c>
      <c r="J9" s="147">
        <v>10</v>
      </c>
      <c r="K9" s="16"/>
      <c r="L9" s="16">
        <f t="shared" si="0"/>
        <v>2300</v>
      </c>
      <c r="M9" s="16">
        <v>23</v>
      </c>
      <c r="N9" s="16">
        <v>100</v>
      </c>
      <c r="O9" s="177">
        <f t="shared" si="1"/>
        <v>2300</v>
      </c>
      <c r="P9" s="526">
        <f>1/(1+$K$1)^J9</f>
        <v>0.82034829987515534</v>
      </c>
      <c r="Q9" s="506"/>
      <c r="R9" s="16"/>
      <c r="S9" s="147">
        <v>10</v>
      </c>
      <c r="T9" s="16"/>
      <c r="U9" s="16">
        <f t="shared" si="2"/>
        <v>2300</v>
      </c>
      <c r="V9" s="16">
        <v>23</v>
      </c>
      <c r="W9" s="16">
        <v>100</v>
      </c>
      <c r="X9" s="177">
        <f t="shared" si="3"/>
        <v>2300</v>
      </c>
      <c r="Y9" s="518">
        <f>1/(1+$K$1)^S9</f>
        <v>0.82034829987515534</v>
      </c>
      <c r="Z9" s="518">
        <f>(1+$K$1)^(35-J9)</f>
        <v>1.6406059944647295</v>
      </c>
      <c r="AB9" s="506"/>
      <c r="AD9" s="787"/>
      <c r="AE9" s="788" t="s">
        <v>399</v>
      </c>
      <c r="AF9" s="788" t="s">
        <v>400</v>
      </c>
      <c r="AG9" s="788" t="s">
        <v>401</v>
      </c>
      <c r="AH9" s="506"/>
    </row>
    <row r="10" spans="2:34">
      <c r="C10" s="177" t="s">
        <v>150</v>
      </c>
      <c r="D10" s="178">
        <v>50</v>
      </c>
      <c r="E10" s="178">
        <v>100</v>
      </c>
      <c r="F10" s="178">
        <v>100</v>
      </c>
      <c r="G10" s="178">
        <v>450</v>
      </c>
      <c r="J10" s="147">
        <v>35</v>
      </c>
      <c r="K10" s="16"/>
      <c r="L10" s="16">
        <f t="shared" si="0"/>
        <v>27000</v>
      </c>
      <c r="M10" s="16">
        <v>60</v>
      </c>
      <c r="N10" s="16">
        <v>450</v>
      </c>
      <c r="O10" s="177">
        <f t="shared" si="1"/>
        <v>27000</v>
      </c>
      <c r="P10" s="526">
        <f>1/(1+$K$1)^J10</f>
        <v>0.50002761335929735</v>
      </c>
      <c r="Q10" s="506"/>
      <c r="R10" s="16"/>
      <c r="S10" s="147">
        <v>35</v>
      </c>
      <c r="T10" s="16"/>
      <c r="U10" s="16">
        <f t="shared" si="2"/>
        <v>27000</v>
      </c>
      <c r="V10" s="16">
        <v>60</v>
      </c>
      <c r="W10" s="16">
        <v>450</v>
      </c>
      <c r="X10" s="177">
        <f t="shared" si="3"/>
        <v>27000</v>
      </c>
      <c r="Y10" s="518">
        <f>1/(1+$K$1)^S10</f>
        <v>0.50002761335929735</v>
      </c>
      <c r="Z10" s="518">
        <f>(1+$K$1)^(35-J10)</f>
        <v>1</v>
      </c>
      <c r="AB10" s="506"/>
      <c r="AD10" s="782" t="s">
        <v>559</v>
      </c>
      <c r="AE10" s="783">
        <f>1.2+2.4/(1+0.02)^5</f>
        <v>3.3737539435917983</v>
      </c>
      <c r="AF10" s="783">
        <f>1.2+3.5/(1+0.02)^10</f>
        <v>4.0712190495630436</v>
      </c>
      <c r="AG10" s="783">
        <f>1.2+2.4/(1+0.02)^5+3/(1+0.02)^10</f>
        <v>5.8347988432172642</v>
      </c>
      <c r="AH10" s="506"/>
    </row>
    <row r="11" spans="2:34">
      <c r="C11" s="177" t="s">
        <v>151</v>
      </c>
      <c r="D11" s="178">
        <v>350</v>
      </c>
      <c r="E11" s="178">
        <v>1200</v>
      </c>
      <c r="F11" s="178">
        <v>2300</v>
      </c>
      <c r="G11" s="178">
        <v>27000</v>
      </c>
      <c r="J11" s="505"/>
      <c r="O11" s="177" t="s">
        <v>276</v>
      </c>
      <c r="P11" s="527">
        <f>SUMPRODUCT(O7:O10,P7:P10)</f>
        <v>16824.423622209786</v>
      </c>
      <c r="Q11" s="506"/>
      <c r="R11" s="16"/>
      <c r="S11" s="505"/>
      <c r="X11" s="177" t="s">
        <v>276</v>
      </c>
      <c r="Y11" s="521">
        <f>SUMPRODUCT(X7:X10,Y7:Y10)</f>
        <v>16824.423622209786</v>
      </c>
      <c r="Z11" s="521">
        <f>SUMPRODUCT(X7:X10,Z7:Z10)</f>
        <v>33646.989031624762</v>
      </c>
      <c r="AB11" s="506"/>
      <c r="AD11" s="782" t="s">
        <v>560</v>
      </c>
      <c r="AE11" s="783">
        <f>AE10*250</f>
        <v>843.43848589794959</v>
      </c>
      <c r="AF11" s="783">
        <f t="shared" ref="AF11:AG11" si="4">AF10*250</f>
        <v>1017.8047623907609</v>
      </c>
      <c r="AG11" s="783">
        <f t="shared" si="4"/>
        <v>1458.6997108043161</v>
      </c>
      <c r="AH11" s="506"/>
    </row>
    <row r="12" spans="2:34">
      <c r="J12" s="507" t="s">
        <v>385</v>
      </c>
      <c r="K12" s="188"/>
      <c r="L12" s="188"/>
      <c r="M12" s="188"/>
      <c r="N12" s="188"/>
      <c r="O12" s="188"/>
      <c r="P12" s="188"/>
      <c r="Q12" s="508"/>
      <c r="R12" s="16"/>
      <c r="S12" s="507" t="s">
        <v>385</v>
      </c>
      <c r="T12" s="188"/>
      <c r="U12" s="188"/>
      <c r="V12" s="188"/>
      <c r="W12" s="188"/>
      <c r="X12" s="188"/>
      <c r="Y12" s="188"/>
      <c r="Z12" s="188"/>
      <c r="AA12" s="219"/>
      <c r="AB12" s="517"/>
      <c r="AD12" s="782" t="s">
        <v>561</v>
      </c>
      <c r="AE12" s="783">
        <v>100</v>
      </c>
      <c r="AF12" s="783">
        <v>160</v>
      </c>
      <c r="AG12" s="783">
        <v>200</v>
      </c>
      <c r="AH12" s="506"/>
    </row>
    <row r="13" spans="2:34">
      <c r="B13" s="177" t="s">
        <v>152</v>
      </c>
      <c r="J13" s="509"/>
      <c r="K13" s="216" t="s">
        <v>386</v>
      </c>
      <c r="L13" s="216" t="s">
        <v>387</v>
      </c>
      <c r="M13" s="216" t="s">
        <v>389</v>
      </c>
      <c r="N13" s="216" t="s">
        <v>391</v>
      </c>
      <c r="O13" s="16"/>
      <c r="P13" s="16"/>
      <c r="Q13" s="148"/>
      <c r="R13" s="16"/>
      <c r="S13" s="509"/>
      <c r="T13" s="216" t="s">
        <v>386</v>
      </c>
      <c r="U13" s="216" t="s">
        <v>387</v>
      </c>
      <c r="V13" s="216" t="s">
        <v>389</v>
      </c>
      <c r="W13" s="174"/>
      <c r="X13" s="16"/>
      <c r="Y13" s="16"/>
      <c r="Z13" s="16"/>
      <c r="AB13" s="506"/>
      <c r="AD13" s="782" t="s">
        <v>562</v>
      </c>
      <c r="AE13" s="783">
        <f>AE11*(1+0.02)^35</f>
        <v>1686.7838162607486</v>
      </c>
      <c r="AF13" s="783">
        <f t="shared" ref="AF13:AG13" si="5">AF11*(1+0.02)^35</f>
        <v>2035.4971109553746</v>
      </c>
      <c r="AG13" s="783">
        <f t="shared" si="5"/>
        <v>2917.2383121092957</v>
      </c>
      <c r="AH13" s="506"/>
    </row>
    <row r="14" spans="2:34">
      <c r="J14" s="510" t="s">
        <v>381</v>
      </c>
      <c r="K14" s="218">
        <v>1.2</v>
      </c>
      <c r="L14" s="217">
        <v>2.4</v>
      </c>
      <c r="M14" s="218">
        <v>100</v>
      </c>
      <c r="N14" s="531">
        <v>76.900000000000006</v>
      </c>
      <c r="O14" s="16"/>
      <c r="P14" s="16"/>
      <c r="Q14" s="148"/>
      <c r="R14" s="16"/>
      <c r="S14" s="510" t="s">
        <v>381</v>
      </c>
      <c r="T14" s="218">
        <v>1.2</v>
      </c>
      <c r="U14" s="217">
        <v>2.4</v>
      </c>
      <c r="V14" s="218">
        <v>100</v>
      </c>
      <c r="W14" s="15"/>
      <c r="X14" s="16"/>
      <c r="Y14" s="16"/>
      <c r="Z14" s="16"/>
      <c r="AB14" s="506"/>
      <c r="AD14" s="782" t="s">
        <v>563</v>
      </c>
      <c r="AE14" s="783">
        <f>AE13/AE12</f>
        <v>16.867838162607487</v>
      </c>
      <c r="AF14" s="783">
        <f t="shared" ref="AF14:AG14" si="6">AF13/AF12</f>
        <v>12.721856943471092</v>
      </c>
      <c r="AG14" s="783">
        <f t="shared" si="6"/>
        <v>14.586191560546478</v>
      </c>
      <c r="AH14" s="506"/>
    </row>
    <row r="15" spans="2:34">
      <c r="B15" s="177" t="s">
        <v>153</v>
      </c>
      <c r="J15" s="509" t="s">
        <v>380</v>
      </c>
      <c r="K15" s="217">
        <v>250</v>
      </c>
      <c r="L15" s="217"/>
      <c r="M15" s="218"/>
      <c r="N15" s="16"/>
      <c r="O15" s="16"/>
      <c r="P15" s="16"/>
      <c r="Q15" s="148"/>
      <c r="R15" s="16"/>
      <c r="S15" s="509" t="s">
        <v>380</v>
      </c>
      <c r="T15" s="217">
        <v>250</v>
      </c>
      <c r="U15" s="217"/>
      <c r="V15" s="218"/>
      <c r="W15" s="16"/>
      <c r="X15" s="16"/>
      <c r="Y15" s="16"/>
      <c r="Z15" s="16"/>
      <c r="AA15" s="177" t="s">
        <v>394</v>
      </c>
      <c r="AB15" s="506" t="s">
        <v>395</v>
      </c>
      <c r="AD15" s="782" t="s">
        <v>564</v>
      </c>
      <c r="AE15" s="786">
        <f>60+AE14</f>
        <v>76.867838162607484</v>
      </c>
      <c r="AF15" s="786">
        <f t="shared" ref="AF15:AG15" si="7">60+AF14</f>
        <v>72.721856943471096</v>
      </c>
      <c r="AG15" s="786">
        <f t="shared" si="7"/>
        <v>74.586191560546482</v>
      </c>
      <c r="AH15" s="506"/>
    </row>
    <row r="16" spans="2:34">
      <c r="C16" s="178" t="s">
        <v>154</v>
      </c>
      <c r="D16" s="178" t="s">
        <v>1</v>
      </c>
      <c r="E16" s="178" t="s">
        <v>155</v>
      </c>
      <c r="J16" s="504" t="s">
        <v>1</v>
      </c>
      <c r="K16" s="53" t="s">
        <v>379</v>
      </c>
      <c r="L16" s="53" t="s">
        <v>288</v>
      </c>
      <c r="M16" s="53" t="s">
        <v>382</v>
      </c>
      <c r="N16" s="53" t="s">
        <v>383</v>
      </c>
      <c r="O16" s="174" t="s">
        <v>285</v>
      </c>
      <c r="P16" s="174" t="s">
        <v>361</v>
      </c>
      <c r="Q16" s="148"/>
      <c r="R16" s="16"/>
      <c r="S16" s="504" t="s">
        <v>1</v>
      </c>
      <c r="T16" s="53" t="s">
        <v>379</v>
      </c>
      <c r="U16" s="53" t="s">
        <v>288</v>
      </c>
      <c r="V16" s="53" t="s">
        <v>382</v>
      </c>
      <c r="W16" s="53" t="s">
        <v>383</v>
      </c>
      <c r="X16" s="174" t="s">
        <v>285</v>
      </c>
      <c r="Y16" s="174" t="s">
        <v>361</v>
      </c>
      <c r="Z16" s="174" t="s">
        <v>393</v>
      </c>
      <c r="AA16" s="177" t="s">
        <v>391</v>
      </c>
      <c r="AB16" s="506" t="s">
        <v>391</v>
      </c>
      <c r="AD16" s="505"/>
      <c r="AH16" s="506"/>
    </row>
    <row r="17" spans="2:34" ht="13.5" thickBot="1">
      <c r="C17" s="178" t="s">
        <v>156</v>
      </c>
      <c r="D17" s="178">
        <v>0</v>
      </c>
      <c r="E17" s="178" t="s">
        <v>157</v>
      </c>
      <c r="J17" s="147">
        <v>0</v>
      </c>
      <c r="K17" s="16">
        <f>K15*K14</f>
        <v>300</v>
      </c>
      <c r="L17" s="16">
        <f>M17*N17</f>
        <v>350</v>
      </c>
      <c r="M17" s="16">
        <v>7</v>
      </c>
      <c r="N17" s="16">
        <v>50</v>
      </c>
      <c r="O17" s="177">
        <f>L17-K17</f>
        <v>50</v>
      </c>
      <c r="P17" s="526">
        <f>1/(1+$K$1)^J17</f>
        <v>1</v>
      </c>
      <c r="Q17" s="148"/>
      <c r="R17" s="16"/>
      <c r="S17" s="147">
        <v>0</v>
      </c>
      <c r="T17" s="16">
        <f>T15*T14</f>
        <v>300</v>
      </c>
      <c r="U17" s="16">
        <f>V17*W17</f>
        <v>350</v>
      </c>
      <c r="V17" s="16">
        <v>7</v>
      </c>
      <c r="W17" s="16">
        <v>50</v>
      </c>
      <c r="X17" s="177">
        <f>U17-T17</f>
        <v>50</v>
      </c>
      <c r="Y17" s="518">
        <f>1/(1+$K$1)^S17</f>
        <v>1</v>
      </c>
      <c r="Z17" s="518">
        <f>(1+$K$1)^(35-S17)</f>
        <v>1.9998895526624547</v>
      </c>
      <c r="AA17" s="519">
        <f>(Y11-Y21)*(1+$K$1)^35/V14+$V$10</f>
        <v>76.867838162607498</v>
      </c>
      <c r="AB17" s="520">
        <f>$V$10+(Z11-Z21)/V14</f>
        <v>76.867838162607512</v>
      </c>
      <c r="AD17" s="784"/>
      <c r="AE17" s="513"/>
      <c r="AF17" s="513"/>
      <c r="AG17" s="513"/>
      <c r="AH17" s="785"/>
    </row>
    <row r="18" spans="2:34">
      <c r="C18" s="178" t="s">
        <v>158</v>
      </c>
      <c r="D18" s="178">
        <v>5</v>
      </c>
      <c r="E18" s="178" t="s">
        <v>159</v>
      </c>
      <c r="J18" s="147">
        <v>5</v>
      </c>
      <c r="K18" s="16">
        <f>K15*L14</f>
        <v>600</v>
      </c>
      <c r="L18" s="16">
        <f t="shared" ref="L18:L19" si="8">M18*N18</f>
        <v>1200</v>
      </c>
      <c r="M18" s="16">
        <v>12</v>
      </c>
      <c r="N18" s="16">
        <v>100</v>
      </c>
      <c r="O18" s="177">
        <f t="shared" ref="O18:O20" si="9">L18-K18</f>
        <v>600</v>
      </c>
      <c r="P18" s="526">
        <f>1/(1+$K$1)^J18</f>
        <v>0.90573080982991594</v>
      </c>
      <c r="Q18" s="148"/>
      <c r="R18" s="16"/>
      <c r="S18" s="147">
        <v>5</v>
      </c>
      <c r="T18" s="16">
        <f>T15*U14</f>
        <v>600</v>
      </c>
      <c r="U18" s="16">
        <f t="shared" ref="U18:U19" si="10">V18*W18</f>
        <v>1200</v>
      </c>
      <c r="V18" s="16">
        <v>12</v>
      </c>
      <c r="W18" s="16">
        <v>100</v>
      </c>
      <c r="X18" s="177">
        <f t="shared" ref="X18:X20" si="11">U18-T18</f>
        <v>600</v>
      </c>
      <c r="Y18" s="518">
        <f>1/(1+$K$1)^S18</f>
        <v>0.90573080982991594</v>
      </c>
      <c r="Z18" s="518">
        <f t="shared" ref="Z18:Z20" si="12">(1+$K$1)^(35-S18)</f>
        <v>1.8113615841033535</v>
      </c>
      <c r="AA18" s="521"/>
      <c r="AB18" s="522"/>
    </row>
    <row r="19" spans="2:34">
      <c r="J19" s="147">
        <v>10</v>
      </c>
      <c r="K19" s="16">
        <v>0</v>
      </c>
      <c r="L19" s="16">
        <f t="shared" si="8"/>
        <v>2300</v>
      </c>
      <c r="M19" s="16">
        <v>23</v>
      </c>
      <c r="N19" s="16">
        <v>100</v>
      </c>
      <c r="O19" s="177">
        <f t="shared" si="9"/>
        <v>2300</v>
      </c>
      <c r="P19" s="526">
        <f>1/(1+$K$1)^J19</f>
        <v>0.82034829987515534</v>
      </c>
      <c r="Q19" s="148"/>
      <c r="R19" s="16"/>
      <c r="S19" s="147">
        <v>10</v>
      </c>
      <c r="T19" s="16">
        <v>0</v>
      </c>
      <c r="U19" s="16">
        <f t="shared" si="10"/>
        <v>2300</v>
      </c>
      <c r="V19" s="16">
        <v>23</v>
      </c>
      <c r="W19" s="16">
        <v>100</v>
      </c>
      <c r="X19" s="177">
        <f t="shared" si="11"/>
        <v>2300</v>
      </c>
      <c r="Y19" s="518">
        <f>1/(1+$K$1)^S19</f>
        <v>0.82034829987515534</v>
      </c>
      <c r="Z19" s="518">
        <f t="shared" si="12"/>
        <v>1.6406059944647295</v>
      </c>
      <c r="AA19" s="521"/>
      <c r="AB19" s="522"/>
    </row>
    <row r="20" spans="2:34">
      <c r="B20" s="177" t="s">
        <v>160</v>
      </c>
      <c r="J20" s="147">
        <v>35</v>
      </c>
      <c r="K20" s="16">
        <v>0</v>
      </c>
      <c r="L20" s="518">
        <f>(N20-M14)*M20+M14*N14</f>
        <v>28690</v>
      </c>
      <c r="M20" s="16">
        <v>60</v>
      </c>
      <c r="N20" s="16">
        <v>450</v>
      </c>
      <c r="O20" s="177">
        <f t="shared" si="9"/>
        <v>28690</v>
      </c>
      <c r="P20" s="526">
        <f>1/(1+$K$1)^J20</f>
        <v>0.50002761335929735</v>
      </c>
      <c r="Q20" s="511" t="s">
        <v>392</v>
      </c>
      <c r="R20" s="16"/>
      <c r="S20" s="147">
        <v>35</v>
      </c>
      <c r="T20" s="16">
        <v>0</v>
      </c>
      <c r="U20" s="16">
        <v>27000</v>
      </c>
      <c r="V20" s="16">
        <v>60</v>
      </c>
      <c r="W20" s="16">
        <v>450</v>
      </c>
      <c r="X20" s="177">
        <f t="shared" si="11"/>
        <v>27000</v>
      </c>
      <c r="Y20" s="518">
        <f>1/(1+$K$1)^S20</f>
        <v>0.50002761335929735</v>
      </c>
      <c r="Z20" s="518">
        <f t="shared" si="12"/>
        <v>1</v>
      </c>
      <c r="AA20" s="521"/>
      <c r="AB20" s="522"/>
    </row>
    <row r="21" spans="2:34">
      <c r="C21" s="178" t="s">
        <v>154</v>
      </c>
      <c r="D21" s="178" t="s">
        <v>1</v>
      </c>
      <c r="E21" s="178" t="s">
        <v>155</v>
      </c>
      <c r="J21" s="147"/>
      <c r="K21" s="16"/>
      <c r="L21" s="16"/>
      <c r="M21" s="16"/>
      <c r="N21" s="16"/>
      <c r="O21" s="177" t="s">
        <v>276</v>
      </c>
      <c r="P21" s="527">
        <f>SUMPRODUCT(O17:O20,P17:P20)</f>
        <v>16826.031802889047</v>
      </c>
      <c r="Q21" s="148">
        <f>P11-P21</f>
        <v>-1.6081806792608404</v>
      </c>
      <c r="R21" s="16"/>
      <c r="S21" s="147"/>
      <c r="T21" s="16"/>
      <c r="U21" s="16"/>
      <c r="V21" s="16"/>
      <c r="W21" s="16"/>
      <c r="X21" s="177" t="s">
        <v>276</v>
      </c>
      <c r="Y21" s="521">
        <f>SUMPRODUCT(X17:X20,Y17:Y20)</f>
        <v>15980.985136311836</v>
      </c>
      <c r="Z21" s="521">
        <f>SUMPRODUCT(X17:X20,Z17:Z20)</f>
        <v>31960.205215364011</v>
      </c>
      <c r="AA21" s="521"/>
      <c r="AB21" s="522"/>
    </row>
    <row r="22" spans="2:34">
      <c r="C22" s="178" t="s">
        <v>156</v>
      </c>
      <c r="D22" s="178">
        <v>0</v>
      </c>
      <c r="E22" s="178" t="s">
        <v>157</v>
      </c>
      <c r="J22" s="507" t="s">
        <v>390</v>
      </c>
      <c r="K22" s="188"/>
      <c r="L22" s="188"/>
      <c r="M22" s="188"/>
      <c r="N22" s="188"/>
      <c r="O22" s="188"/>
      <c r="P22" s="188"/>
      <c r="Q22" s="508"/>
      <c r="R22" s="16"/>
      <c r="S22" s="507" t="s">
        <v>390</v>
      </c>
      <c r="T22" s="188"/>
      <c r="U22" s="188"/>
      <c r="V22" s="188"/>
      <c r="W22" s="188"/>
      <c r="X22" s="188"/>
      <c r="Y22" s="188"/>
      <c r="Z22" s="188"/>
      <c r="AA22" s="219"/>
      <c r="AB22" s="517"/>
    </row>
    <row r="23" spans="2:34">
      <c r="C23" s="178" t="s">
        <v>161</v>
      </c>
      <c r="D23" s="178">
        <v>10</v>
      </c>
      <c r="E23" s="178" t="s">
        <v>162</v>
      </c>
      <c r="J23" s="512"/>
      <c r="K23" s="216" t="s">
        <v>386</v>
      </c>
      <c r="L23" s="216" t="s">
        <v>388</v>
      </c>
      <c r="M23" s="216" t="s">
        <v>389</v>
      </c>
      <c r="N23" s="216" t="s">
        <v>391</v>
      </c>
      <c r="O23" s="16"/>
      <c r="P23" s="16"/>
      <c r="Q23" s="148"/>
      <c r="R23" s="16"/>
      <c r="S23" s="512"/>
      <c r="T23" s="216" t="s">
        <v>386</v>
      </c>
      <c r="U23" s="216" t="s">
        <v>388</v>
      </c>
      <c r="V23" s="216" t="s">
        <v>389</v>
      </c>
      <c r="W23" s="174"/>
      <c r="X23" s="16"/>
      <c r="Y23" s="16"/>
      <c r="Z23" s="16"/>
      <c r="AB23" s="506"/>
    </row>
    <row r="24" spans="2:34">
      <c r="J24" s="510" t="s">
        <v>381</v>
      </c>
      <c r="K24" s="216">
        <v>1.2</v>
      </c>
      <c r="L24" s="215">
        <v>3.5</v>
      </c>
      <c r="M24" s="216">
        <v>160</v>
      </c>
      <c r="N24" s="531">
        <v>72.72185694347047</v>
      </c>
      <c r="O24" s="16"/>
      <c r="P24" s="16"/>
      <c r="Q24" s="148"/>
      <c r="R24" s="16"/>
      <c r="S24" s="510" t="s">
        <v>381</v>
      </c>
      <c r="T24" s="216">
        <v>1.2</v>
      </c>
      <c r="U24" s="215">
        <v>3.5</v>
      </c>
      <c r="V24" s="216">
        <v>160</v>
      </c>
      <c r="W24" s="15"/>
      <c r="X24" s="16"/>
      <c r="Y24" s="16"/>
      <c r="Z24" s="16"/>
      <c r="AB24" s="506"/>
    </row>
    <row r="25" spans="2:34">
      <c r="B25" s="177" t="s">
        <v>163</v>
      </c>
      <c r="J25" s="512" t="s">
        <v>380</v>
      </c>
      <c r="K25" s="215">
        <v>250</v>
      </c>
      <c r="L25" s="215"/>
      <c r="M25" s="216"/>
      <c r="N25" s="16"/>
      <c r="O25" s="16"/>
      <c r="P25" s="16"/>
      <c r="Q25" s="148"/>
      <c r="R25" s="16"/>
      <c r="S25" s="512" t="s">
        <v>380</v>
      </c>
      <c r="T25" s="215">
        <v>250</v>
      </c>
      <c r="U25" s="215"/>
      <c r="V25" s="216"/>
      <c r="W25" s="16"/>
      <c r="X25" s="16"/>
      <c r="Y25" s="16"/>
      <c r="Z25" s="16"/>
      <c r="AA25" s="177" t="s">
        <v>394</v>
      </c>
      <c r="AB25" s="506" t="s">
        <v>395</v>
      </c>
    </row>
    <row r="26" spans="2:34">
      <c r="C26" s="178" t="s">
        <v>154</v>
      </c>
      <c r="D26" s="178" t="s">
        <v>1</v>
      </c>
      <c r="E26" s="178" t="s">
        <v>155</v>
      </c>
      <c r="J26" s="504" t="s">
        <v>1</v>
      </c>
      <c r="K26" s="53" t="s">
        <v>379</v>
      </c>
      <c r="L26" s="53" t="s">
        <v>288</v>
      </c>
      <c r="M26" s="53" t="s">
        <v>382</v>
      </c>
      <c r="N26" s="53" t="s">
        <v>383</v>
      </c>
      <c r="O26" s="174" t="s">
        <v>285</v>
      </c>
      <c r="P26" s="174" t="s">
        <v>361</v>
      </c>
      <c r="Q26" s="148"/>
      <c r="R26" s="16"/>
      <c r="S26" s="504" t="s">
        <v>1</v>
      </c>
      <c r="T26" s="53" t="s">
        <v>379</v>
      </c>
      <c r="U26" s="53" t="s">
        <v>288</v>
      </c>
      <c r="V26" s="53" t="s">
        <v>382</v>
      </c>
      <c r="W26" s="53" t="s">
        <v>383</v>
      </c>
      <c r="X26" s="174" t="s">
        <v>285</v>
      </c>
      <c r="Y26" s="174" t="s">
        <v>361</v>
      </c>
      <c r="Z26" s="174" t="s">
        <v>393</v>
      </c>
      <c r="AA26" s="177" t="s">
        <v>391</v>
      </c>
      <c r="AB26" s="506" t="s">
        <v>391</v>
      </c>
    </row>
    <row r="27" spans="2:34">
      <c r="C27" s="178" t="s">
        <v>156</v>
      </c>
      <c r="D27" s="178">
        <v>0</v>
      </c>
      <c r="E27" s="178" t="s">
        <v>157</v>
      </c>
      <c r="J27" s="147">
        <v>0</v>
      </c>
      <c r="K27" s="16">
        <f>K25*K24</f>
        <v>300</v>
      </c>
      <c r="L27" s="16">
        <f>M27*N27</f>
        <v>350</v>
      </c>
      <c r="M27" s="16">
        <v>7</v>
      </c>
      <c r="N27" s="16">
        <v>50</v>
      </c>
      <c r="O27" s="177">
        <f>L27-K27</f>
        <v>50</v>
      </c>
      <c r="P27" s="528">
        <f>1/(1+$K$1)^J27</f>
        <v>1</v>
      </c>
      <c r="Q27" s="148"/>
      <c r="R27" s="16"/>
      <c r="S27" s="147">
        <v>0</v>
      </c>
      <c r="T27" s="16">
        <f>T25*T24</f>
        <v>300</v>
      </c>
      <c r="U27" s="16">
        <f>V27*W27</f>
        <v>350</v>
      </c>
      <c r="V27" s="16">
        <v>7</v>
      </c>
      <c r="W27" s="16">
        <v>50</v>
      </c>
      <c r="X27" s="177">
        <f>U27-T27</f>
        <v>50</v>
      </c>
      <c r="Y27" s="518">
        <f>1/(1+$K$1)^S27</f>
        <v>1</v>
      </c>
      <c r="Z27" s="518">
        <f>(1+$K$1)^(35-J27)</f>
        <v>1.9998895526624547</v>
      </c>
      <c r="AA27" s="519">
        <f>(Y11-Y31)*(1+$K$1)^35/V24+$V$10</f>
        <v>72.72185694347111</v>
      </c>
      <c r="AB27" s="520">
        <f>$V$10+(Z11-Z31)/V24</f>
        <v>72.721856943471082</v>
      </c>
    </row>
    <row r="28" spans="2:34">
      <c r="C28" s="178" t="s">
        <v>158</v>
      </c>
      <c r="D28" s="178">
        <v>5</v>
      </c>
      <c r="E28" s="178" t="s">
        <v>159</v>
      </c>
      <c r="J28" s="147">
        <v>5</v>
      </c>
      <c r="K28" s="177">
        <v>0</v>
      </c>
      <c r="L28" s="16">
        <f t="shared" ref="L28:L29" si="13">M28*N28</f>
        <v>1200</v>
      </c>
      <c r="M28" s="16">
        <v>12</v>
      </c>
      <c r="N28" s="16">
        <v>100</v>
      </c>
      <c r="O28" s="177">
        <f t="shared" ref="O28:O30" si="14">L28-K28</f>
        <v>1200</v>
      </c>
      <c r="P28" s="528">
        <f>1/(1+$K$1)^J28</f>
        <v>0.90573080982991594</v>
      </c>
      <c r="Q28" s="148"/>
      <c r="R28" s="16"/>
      <c r="S28" s="147">
        <v>5</v>
      </c>
      <c r="T28" s="177">
        <v>0</v>
      </c>
      <c r="U28" s="16">
        <f t="shared" ref="U28:U29" si="15">V28*W28</f>
        <v>1200</v>
      </c>
      <c r="V28" s="16">
        <v>12</v>
      </c>
      <c r="W28" s="16">
        <v>100</v>
      </c>
      <c r="X28" s="177">
        <f t="shared" ref="X28:X30" si="16">U28-T28</f>
        <v>1200</v>
      </c>
      <c r="Y28" s="518">
        <f>1/(1+$K$1)^S28</f>
        <v>0.90573080982991594</v>
      </c>
      <c r="Z28" s="518">
        <f>(1+$K$1)^(35-J28)</f>
        <v>1.8113615841033535</v>
      </c>
      <c r="AA28" s="521"/>
      <c r="AB28" s="522"/>
    </row>
    <row r="29" spans="2:34">
      <c r="C29" s="178" t="s">
        <v>161</v>
      </c>
      <c r="D29" s="178">
        <v>10</v>
      </c>
      <c r="E29" s="178" t="s">
        <v>164</v>
      </c>
      <c r="J29" s="147">
        <v>10</v>
      </c>
      <c r="K29" s="16">
        <f>K25*L24</f>
        <v>875</v>
      </c>
      <c r="L29" s="16">
        <f t="shared" si="13"/>
        <v>2300</v>
      </c>
      <c r="M29" s="16">
        <v>23</v>
      </c>
      <c r="N29" s="16">
        <v>100</v>
      </c>
      <c r="O29" s="177">
        <f t="shared" si="14"/>
        <v>1425</v>
      </c>
      <c r="P29" s="528">
        <f>1/(1+$K$1)^J29</f>
        <v>0.82034829987515534</v>
      </c>
      <c r="Q29" s="148"/>
      <c r="R29" s="16"/>
      <c r="S29" s="147">
        <v>10</v>
      </c>
      <c r="T29" s="16">
        <f>T25*U24</f>
        <v>875</v>
      </c>
      <c r="U29" s="16">
        <f t="shared" si="15"/>
        <v>2300</v>
      </c>
      <c r="V29" s="16">
        <v>23</v>
      </c>
      <c r="W29" s="16">
        <v>100</v>
      </c>
      <c r="X29" s="177">
        <f t="shared" si="16"/>
        <v>1425</v>
      </c>
      <c r="Y29" s="518">
        <f>1/(1+$K$1)^S29</f>
        <v>0.82034829987515534</v>
      </c>
      <c r="Z29" s="518">
        <f>(1+$K$1)^(35-J29)</f>
        <v>1.6406059944647295</v>
      </c>
      <c r="AA29" s="521"/>
      <c r="AB29" s="522"/>
    </row>
    <row r="30" spans="2:34">
      <c r="J30" s="147">
        <v>35</v>
      </c>
      <c r="K30" s="16">
        <v>0</v>
      </c>
      <c r="L30" s="518">
        <f>(N30-M24)*M30+M24*N24</f>
        <v>29035.497110955275</v>
      </c>
      <c r="M30" s="16">
        <v>60</v>
      </c>
      <c r="N30" s="16">
        <v>450</v>
      </c>
      <c r="O30" s="521">
        <f t="shared" si="14"/>
        <v>29035.497110955275</v>
      </c>
      <c r="P30" s="528">
        <f>1/(1+$K$1)^J30</f>
        <v>0.50002761335929735</v>
      </c>
      <c r="Q30" s="511" t="s">
        <v>392</v>
      </c>
      <c r="R30" s="16"/>
      <c r="S30" s="147">
        <v>35</v>
      </c>
      <c r="T30" s="16">
        <v>0</v>
      </c>
      <c r="U30" s="16">
        <v>27000</v>
      </c>
      <c r="V30" s="16">
        <v>60</v>
      </c>
      <c r="W30" s="16">
        <v>450</v>
      </c>
      <c r="X30" s="177">
        <f t="shared" si="16"/>
        <v>27000</v>
      </c>
      <c r="Y30" s="518">
        <f>1/(1+$K$1)^S30</f>
        <v>0.50002761335929735</v>
      </c>
      <c r="Z30" s="518">
        <f>(1+$K$1)^(35-J30)</f>
        <v>1</v>
      </c>
      <c r="AA30" s="521"/>
      <c r="AB30" s="522"/>
    </row>
    <row r="31" spans="2:34">
      <c r="B31" s="177" t="s">
        <v>165</v>
      </c>
      <c r="J31" s="147"/>
      <c r="K31" s="16"/>
      <c r="L31" s="16"/>
      <c r="M31" s="16"/>
      <c r="N31" s="16"/>
      <c r="O31" s="177" t="s">
        <v>276</v>
      </c>
      <c r="P31" s="529">
        <f>SUMPRODUCT(O27:O30,P27:P30)</f>
        <v>16824.423622209735</v>
      </c>
      <c r="Q31" s="148">
        <f>P11-P31</f>
        <v>5.0931703299283981E-11</v>
      </c>
      <c r="R31" s="16"/>
      <c r="S31" s="147"/>
      <c r="T31" s="16"/>
      <c r="U31" s="16"/>
      <c r="V31" s="16"/>
      <c r="W31" s="16"/>
      <c r="X31" s="177" t="s">
        <v>276</v>
      </c>
      <c r="Y31" s="521">
        <f>SUMPRODUCT(X27:X30,Y27:Y30)</f>
        <v>15806.618859819024</v>
      </c>
      <c r="Z31" s="521">
        <f>SUMPRODUCT(X27:X30,Z27:Z30)</f>
        <v>31611.491920669388</v>
      </c>
      <c r="AA31" s="521"/>
      <c r="AB31" s="522"/>
    </row>
    <row r="32" spans="2:34">
      <c r="B32" s="177" t="s">
        <v>166</v>
      </c>
      <c r="J32" s="507" t="s">
        <v>420</v>
      </c>
      <c r="K32" s="188"/>
      <c r="L32" s="188"/>
      <c r="M32" s="188"/>
      <c r="N32" s="188"/>
      <c r="O32" s="188"/>
      <c r="P32" s="188"/>
      <c r="Q32" s="508"/>
      <c r="R32" s="16"/>
      <c r="S32" s="507" t="s">
        <v>420</v>
      </c>
      <c r="T32" s="188"/>
      <c r="U32" s="188"/>
      <c r="V32" s="188"/>
      <c r="W32" s="188"/>
      <c r="X32" s="188"/>
      <c r="Y32" s="188"/>
      <c r="Z32" s="188"/>
      <c r="AA32" s="219"/>
      <c r="AB32" s="517"/>
    </row>
    <row r="33" spans="10:28">
      <c r="J33" s="512"/>
      <c r="K33" s="216" t="s">
        <v>386</v>
      </c>
      <c r="L33" s="216" t="s">
        <v>387</v>
      </c>
      <c r="M33" s="216" t="s">
        <v>388</v>
      </c>
      <c r="N33" s="216" t="s">
        <v>389</v>
      </c>
      <c r="O33" s="216" t="s">
        <v>391</v>
      </c>
      <c r="P33" s="16"/>
      <c r="Q33" s="148"/>
      <c r="R33" s="16"/>
      <c r="S33" s="512"/>
      <c r="T33" s="216" t="s">
        <v>386</v>
      </c>
      <c r="U33" s="216" t="s">
        <v>387</v>
      </c>
      <c r="V33" s="216" t="s">
        <v>388</v>
      </c>
      <c r="W33" s="216" t="s">
        <v>389</v>
      </c>
      <c r="X33" s="174"/>
      <c r="Y33" s="16"/>
      <c r="Z33" s="16"/>
      <c r="AB33" s="506"/>
    </row>
    <row r="34" spans="10:28">
      <c r="J34" s="510" t="s">
        <v>381</v>
      </c>
      <c r="K34" s="216">
        <v>1.2</v>
      </c>
      <c r="L34" s="217">
        <v>2.4</v>
      </c>
      <c r="M34" s="215">
        <v>3</v>
      </c>
      <c r="N34" s="216">
        <v>200</v>
      </c>
      <c r="O34" s="531">
        <v>74.586191560546666</v>
      </c>
      <c r="P34" s="16"/>
      <c r="Q34" s="148"/>
      <c r="R34" s="16"/>
      <c r="S34" s="510" t="s">
        <v>381</v>
      </c>
      <c r="T34" s="216">
        <v>1.2</v>
      </c>
      <c r="U34" s="217">
        <v>2.4</v>
      </c>
      <c r="V34" s="215">
        <v>3</v>
      </c>
      <c r="W34" s="216">
        <v>200</v>
      </c>
      <c r="X34" s="15"/>
      <c r="Y34" s="16"/>
      <c r="Z34" s="16"/>
      <c r="AB34" s="506"/>
    </row>
    <row r="35" spans="10:28">
      <c r="J35" s="512" t="s">
        <v>380</v>
      </c>
      <c r="K35" s="215">
        <v>250</v>
      </c>
      <c r="L35" s="215"/>
      <c r="M35" s="216"/>
      <c r="N35" s="16"/>
      <c r="O35" s="16"/>
      <c r="P35" s="16"/>
      <c r="Q35" s="148"/>
      <c r="R35" s="16"/>
      <c r="S35" s="512" t="s">
        <v>380</v>
      </c>
      <c r="T35" s="215">
        <v>250</v>
      </c>
      <c r="U35" s="215"/>
      <c r="V35" s="216"/>
      <c r="W35" s="16"/>
      <c r="X35" s="16"/>
      <c r="Y35" s="16"/>
      <c r="Z35" s="16"/>
      <c r="AA35" s="177" t="s">
        <v>394</v>
      </c>
      <c r="AB35" s="506" t="s">
        <v>395</v>
      </c>
    </row>
    <row r="36" spans="10:28">
      <c r="J36" s="504" t="s">
        <v>1</v>
      </c>
      <c r="K36" s="53" t="s">
        <v>379</v>
      </c>
      <c r="L36" s="53" t="s">
        <v>288</v>
      </c>
      <c r="M36" s="53" t="s">
        <v>382</v>
      </c>
      <c r="N36" s="53" t="s">
        <v>383</v>
      </c>
      <c r="O36" s="174" t="s">
        <v>285</v>
      </c>
      <c r="P36" s="174" t="s">
        <v>361</v>
      </c>
      <c r="Q36" s="148"/>
      <c r="R36" s="16"/>
      <c r="S36" s="504" t="s">
        <v>1</v>
      </c>
      <c r="T36" s="53" t="s">
        <v>379</v>
      </c>
      <c r="U36" s="53" t="s">
        <v>288</v>
      </c>
      <c r="V36" s="53" t="s">
        <v>382</v>
      </c>
      <c r="W36" s="53" t="s">
        <v>383</v>
      </c>
      <c r="X36" s="174" t="s">
        <v>285</v>
      </c>
      <c r="Y36" s="174" t="s">
        <v>361</v>
      </c>
      <c r="Z36" s="174" t="s">
        <v>393</v>
      </c>
      <c r="AA36" s="177" t="s">
        <v>391</v>
      </c>
      <c r="AB36" s="506" t="s">
        <v>391</v>
      </c>
    </row>
    <row r="37" spans="10:28">
      <c r="J37" s="147">
        <v>0</v>
      </c>
      <c r="K37" s="16">
        <f>K35*K34</f>
        <v>300</v>
      </c>
      <c r="L37" s="16">
        <f>M37*N37</f>
        <v>350</v>
      </c>
      <c r="M37" s="16">
        <v>7</v>
      </c>
      <c r="N37" s="16">
        <v>50</v>
      </c>
      <c r="O37" s="177">
        <f>L37-K37</f>
        <v>50</v>
      </c>
      <c r="P37" s="528">
        <f>1/(1+$K$1)^J37</f>
        <v>1</v>
      </c>
      <c r="Q37" s="148"/>
      <c r="R37" s="16"/>
      <c r="S37" s="147">
        <v>0</v>
      </c>
      <c r="T37" s="16">
        <f>T35*T34</f>
        <v>300</v>
      </c>
      <c r="U37" s="16">
        <f>V37*W37</f>
        <v>350</v>
      </c>
      <c r="V37" s="16">
        <v>7</v>
      </c>
      <c r="W37" s="16">
        <v>50</v>
      </c>
      <c r="X37" s="177">
        <f>U37-T37</f>
        <v>50</v>
      </c>
      <c r="Y37" s="518">
        <f>1/(1+$K$1)^S37</f>
        <v>1</v>
      </c>
      <c r="Z37" s="518">
        <f>(1+$K$1)^(35-J37)</f>
        <v>1.9998895526624547</v>
      </c>
      <c r="AA37" s="519">
        <f>(Y11-Y41)*(1+$K$1)^35/W34+$V$10</f>
        <v>74.586191560546496</v>
      </c>
      <c r="AB37" s="520">
        <f>$V$10+(Z11-Z41)/W34</f>
        <v>74.586191560546482</v>
      </c>
    </row>
    <row r="38" spans="10:28">
      <c r="J38" s="147">
        <v>5</v>
      </c>
      <c r="K38" s="177">
        <f>L34*K35</f>
        <v>600</v>
      </c>
      <c r="L38" s="16">
        <f t="shared" ref="L38:L39" si="17">M38*N38</f>
        <v>1200</v>
      </c>
      <c r="M38" s="16">
        <v>12</v>
      </c>
      <c r="N38" s="16">
        <v>100</v>
      </c>
      <c r="O38" s="177">
        <f t="shared" ref="O38:O40" si="18">L38-K38</f>
        <v>600</v>
      </c>
      <c r="P38" s="528">
        <f>1/(1+$K$1)^J38</f>
        <v>0.90573080982991594</v>
      </c>
      <c r="Q38" s="148"/>
      <c r="R38" s="16"/>
      <c r="S38" s="147">
        <v>5</v>
      </c>
      <c r="T38" s="177">
        <f>U34*T35</f>
        <v>600</v>
      </c>
      <c r="U38" s="16">
        <f t="shared" ref="U38:U39" si="19">V38*W38</f>
        <v>1200</v>
      </c>
      <c r="V38" s="16">
        <v>12</v>
      </c>
      <c r="W38" s="16">
        <v>100</v>
      </c>
      <c r="X38" s="177">
        <f t="shared" ref="X38:X40" si="20">U38-T38</f>
        <v>600</v>
      </c>
      <c r="Y38" s="518">
        <f>1/(1+$K$1)^S38</f>
        <v>0.90573080982991594</v>
      </c>
      <c r="Z38" s="518">
        <f>(1+$K$1)^(35-J38)</f>
        <v>1.8113615841033535</v>
      </c>
      <c r="AA38" s="521"/>
      <c r="AB38" s="522"/>
    </row>
    <row r="39" spans="10:28">
      <c r="J39" s="147">
        <v>10</v>
      </c>
      <c r="K39" s="16">
        <f>M34*K35</f>
        <v>750</v>
      </c>
      <c r="L39" s="16">
        <f t="shared" si="17"/>
        <v>2300</v>
      </c>
      <c r="M39" s="16">
        <v>23</v>
      </c>
      <c r="N39" s="16">
        <v>100</v>
      </c>
      <c r="O39" s="177">
        <f t="shared" si="18"/>
        <v>1550</v>
      </c>
      <c r="P39" s="528">
        <f>1/(1+$K$1)^J39</f>
        <v>0.82034829987515534</v>
      </c>
      <c r="Q39" s="148"/>
      <c r="R39" s="16"/>
      <c r="S39" s="147">
        <v>10</v>
      </c>
      <c r="T39" s="16">
        <f>V34*T35</f>
        <v>750</v>
      </c>
      <c r="U39" s="16">
        <f t="shared" si="19"/>
        <v>2300</v>
      </c>
      <c r="V39" s="16">
        <v>23</v>
      </c>
      <c r="W39" s="16">
        <v>100</v>
      </c>
      <c r="X39" s="177">
        <f t="shared" si="20"/>
        <v>1550</v>
      </c>
      <c r="Y39" s="518">
        <f>1/(1+$K$1)^S39</f>
        <v>0.82034829987515534</v>
      </c>
      <c r="Z39" s="518">
        <f>(1+$K$1)^(35-J39)</f>
        <v>1.6406059944647295</v>
      </c>
      <c r="AA39" s="521"/>
      <c r="AB39" s="522"/>
    </row>
    <row r="40" spans="10:28">
      <c r="J40" s="147">
        <v>35</v>
      </c>
      <c r="K40" s="16">
        <v>0</v>
      </c>
      <c r="L40" s="518">
        <f>(N40-N34)*M40+N34*O34</f>
        <v>29917.238312109333</v>
      </c>
      <c r="M40" s="16">
        <v>60</v>
      </c>
      <c r="N40" s="16">
        <v>450</v>
      </c>
      <c r="O40" s="521">
        <f t="shared" si="18"/>
        <v>29917.238312109333</v>
      </c>
      <c r="P40" s="528">
        <f>1/(1+$K$1)^J40</f>
        <v>0.50002761335929735</v>
      </c>
      <c r="Q40" s="511" t="s">
        <v>392</v>
      </c>
      <c r="R40" s="16"/>
      <c r="S40" s="147">
        <v>35</v>
      </c>
      <c r="T40" s="16">
        <v>0</v>
      </c>
      <c r="U40" s="16">
        <v>27000</v>
      </c>
      <c r="V40" s="16">
        <v>60</v>
      </c>
      <c r="W40" s="16">
        <v>450</v>
      </c>
      <c r="X40" s="177">
        <f t="shared" si="20"/>
        <v>27000</v>
      </c>
      <c r="Y40" s="518">
        <f>1/(1+$K$1)^S40</f>
        <v>0.50002761335929735</v>
      </c>
      <c r="Z40" s="518">
        <f>(1+$K$1)^(35-J40)</f>
        <v>1</v>
      </c>
      <c r="AA40" s="521"/>
      <c r="AB40" s="522"/>
    </row>
    <row r="41" spans="10:28" ht="13.5" thickBot="1">
      <c r="J41" s="195"/>
      <c r="K41" s="149"/>
      <c r="L41" s="149"/>
      <c r="M41" s="149"/>
      <c r="N41" s="149"/>
      <c r="O41" s="513" t="s">
        <v>276</v>
      </c>
      <c r="P41" s="530">
        <f>SUMPRODUCT(O37:O40,P37:P40)</f>
        <v>16824.423622209804</v>
      </c>
      <c r="Q41" s="150">
        <f>P11-P41</f>
        <v>0</v>
      </c>
      <c r="R41" s="16"/>
      <c r="S41" s="195"/>
      <c r="T41" s="149"/>
      <c r="U41" s="149"/>
      <c r="V41" s="149"/>
      <c r="W41" s="149"/>
      <c r="X41" s="513" t="s">
        <v>276</v>
      </c>
      <c r="Y41" s="524">
        <f>SUMPRODUCT(X37:X40,Y37:Y40)</f>
        <v>15365.723911405468</v>
      </c>
      <c r="Z41" s="524">
        <f>SUMPRODUCT(X37:X40,Z37:Z40)</f>
        <v>30729.750719515465</v>
      </c>
      <c r="AA41" s="524"/>
      <c r="AB41" s="525"/>
    </row>
    <row r="42" spans="10:28">
      <c r="J42" s="16"/>
      <c r="K42" s="16"/>
      <c r="L42" s="16"/>
      <c r="M42" s="16"/>
      <c r="N42" s="16"/>
      <c r="O42" s="16"/>
      <c r="P42" s="16"/>
      <c r="Q42" s="16"/>
      <c r="R42" s="16"/>
      <c r="S42" s="16"/>
      <c r="T42" s="16"/>
      <c r="U42" s="16"/>
      <c r="V42" s="16"/>
      <c r="W42" s="16"/>
      <c r="X42" s="16"/>
      <c r="Y42" s="16"/>
      <c r="Z42"/>
    </row>
    <row r="43" spans="10:28">
      <c r="J43" s="807" t="s">
        <v>536</v>
      </c>
      <c r="K43" s="808"/>
      <c r="L43" s="808"/>
      <c r="M43" s="808"/>
      <c r="N43" s="808"/>
      <c r="O43" s="808"/>
      <c r="P43" s="808"/>
      <c r="Q43" s="808"/>
      <c r="R43" s="16"/>
      <c r="S43" s="540" t="s">
        <v>471</v>
      </c>
      <c r="T43" s="541"/>
      <c r="U43" s="541"/>
      <c r="V43" s="541"/>
      <c r="W43" s="541"/>
      <c r="X43" s="541"/>
      <c r="Y43" s="541"/>
      <c r="Z43" s="541"/>
      <c r="AA43" s="542"/>
      <c r="AB43" s="542"/>
    </row>
    <row r="44" spans="10:28">
      <c r="J44" s="808"/>
      <c r="K44" s="808"/>
      <c r="L44" s="808"/>
      <c r="M44" s="808"/>
      <c r="N44" s="808"/>
      <c r="O44" s="808"/>
      <c r="P44" s="808"/>
      <c r="Q44" s="808"/>
      <c r="R44" s="16"/>
      <c r="S44" s="543" t="s">
        <v>472</v>
      </c>
      <c r="T44" s="541"/>
      <c r="U44" s="541"/>
      <c r="V44" s="541"/>
      <c r="W44" s="541"/>
      <c r="X44" s="541"/>
      <c r="Y44" s="541"/>
      <c r="Z44" s="541"/>
      <c r="AA44" s="542"/>
      <c r="AB44" s="542"/>
    </row>
    <row r="45" spans="10:28">
      <c r="J45" s="808"/>
      <c r="K45" s="808"/>
      <c r="L45" s="808"/>
      <c r="M45" s="808"/>
      <c r="N45" s="808"/>
      <c r="O45" s="808"/>
      <c r="P45" s="808"/>
      <c r="Q45" s="808"/>
      <c r="R45" s="16"/>
      <c r="S45" s="543" t="s">
        <v>473</v>
      </c>
      <c r="T45" s="541"/>
      <c r="U45" s="541"/>
      <c r="V45" s="541"/>
      <c r="W45" s="541"/>
      <c r="X45" s="541"/>
      <c r="Y45" s="541"/>
      <c r="Z45" s="541"/>
      <c r="AA45" s="542"/>
      <c r="AB45" s="542"/>
    </row>
    <row r="46" spans="10:28">
      <c r="J46" s="808"/>
      <c r="K46" s="808"/>
      <c r="L46" s="808"/>
      <c r="M46" s="808"/>
      <c r="N46" s="808"/>
      <c r="O46" s="808"/>
      <c r="P46" s="808"/>
      <c r="Q46" s="808"/>
      <c r="R46" s="16"/>
      <c r="S46" s="543" t="s">
        <v>474</v>
      </c>
      <c r="T46" s="541"/>
      <c r="U46" s="541"/>
      <c r="V46" s="541"/>
      <c r="W46" s="541"/>
      <c r="X46" s="541"/>
      <c r="Y46" s="541"/>
      <c r="Z46" s="541"/>
      <c r="AA46" s="542"/>
      <c r="AB46" s="542"/>
    </row>
    <row r="47" spans="10:28">
      <c r="J47" s="808"/>
      <c r="K47" s="808"/>
      <c r="L47" s="808"/>
      <c r="M47" s="808"/>
      <c r="N47" s="808"/>
      <c r="O47" s="808"/>
      <c r="P47" s="808"/>
      <c r="Q47" s="808"/>
      <c r="R47" s="16"/>
      <c r="S47" s="541"/>
      <c r="T47" s="541"/>
      <c r="U47" s="541"/>
      <c r="V47" s="541"/>
      <c r="W47" s="541"/>
      <c r="X47" s="541"/>
      <c r="Y47" s="541"/>
      <c r="Z47" s="541"/>
      <c r="AA47" s="542"/>
      <c r="AB47" s="542"/>
    </row>
    <row r="48" spans="10:28">
      <c r="J48" s="378"/>
      <c r="K48" s="378"/>
      <c r="L48" s="378"/>
      <c r="M48" s="378"/>
      <c r="N48" s="378"/>
      <c r="O48" s="378"/>
      <c r="P48" s="378"/>
      <c r="Q48" s="378"/>
      <c r="R48" s="16"/>
      <c r="S48" s="544" t="s">
        <v>475</v>
      </c>
      <c r="T48" s="378"/>
      <c r="U48" s="378"/>
      <c r="V48" s="378"/>
      <c r="W48" s="378"/>
      <c r="X48" s="378"/>
      <c r="Y48" s="378"/>
      <c r="Z48" s="305"/>
      <c r="AA48" s="542"/>
      <c r="AB48" s="542"/>
    </row>
    <row r="49" spans="10:28">
      <c r="J49" s="539" t="s">
        <v>470</v>
      </c>
      <c r="K49" s="378"/>
      <c r="L49" s="378"/>
      <c r="M49" s="378"/>
      <c r="N49" s="378"/>
      <c r="O49" s="378"/>
      <c r="P49" s="378"/>
      <c r="Q49" s="378"/>
      <c r="R49" s="16"/>
      <c r="S49" s="378"/>
      <c r="T49" s="378"/>
      <c r="U49" s="378"/>
      <c r="V49" s="378"/>
      <c r="W49" s="378"/>
      <c r="X49" s="378"/>
      <c r="Y49" s="378"/>
      <c r="Z49" s="305"/>
      <c r="AA49" s="542"/>
      <c r="AB49" s="542"/>
    </row>
    <row r="50" spans="10:28">
      <c r="J50" s="16"/>
      <c r="K50" s="16"/>
      <c r="L50" s="16"/>
      <c r="M50" s="16"/>
      <c r="N50" s="16"/>
      <c r="O50" s="16"/>
      <c r="P50" s="16"/>
      <c r="Q50" s="16"/>
      <c r="R50" s="16"/>
      <c r="S50" s="545" t="s">
        <v>476</v>
      </c>
      <c r="T50" s="378"/>
      <c r="U50" s="378"/>
      <c r="V50" s="378"/>
      <c r="W50" s="378"/>
      <c r="X50" s="378"/>
      <c r="Y50" s="378"/>
      <c r="Z50" s="305"/>
      <c r="AA50" s="542"/>
      <c r="AB50" s="542"/>
    </row>
    <row r="51" spans="10:28">
      <c r="J51" s="16"/>
      <c r="K51" s="16"/>
      <c r="L51" s="16"/>
      <c r="M51" s="16"/>
      <c r="N51" s="16"/>
      <c r="O51" s="16"/>
      <c r="P51" s="16"/>
      <c r="Q51" s="16"/>
      <c r="R51" s="16"/>
      <c r="S51" s="378"/>
      <c r="T51" s="378"/>
      <c r="U51" s="378"/>
      <c r="V51" s="378"/>
      <c r="W51" s="378"/>
      <c r="X51" s="378"/>
      <c r="Y51" s="378"/>
      <c r="Z51" s="305"/>
      <c r="AA51" s="542"/>
      <c r="AB51" s="542"/>
    </row>
    <row r="52" spans="10:28">
      <c r="J52" s="16"/>
      <c r="K52" s="16"/>
      <c r="L52" s="16"/>
      <c r="M52" s="16"/>
      <c r="N52" s="16"/>
      <c r="O52" s="16"/>
      <c r="P52" s="16"/>
      <c r="Q52" s="16"/>
      <c r="R52" s="16"/>
      <c r="S52" s="546" t="s">
        <v>477</v>
      </c>
      <c r="T52" s="378"/>
      <c r="U52" s="378"/>
      <c r="V52" s="378"/>
      <c r="W52" s="378"/>
      <c r="X52" s="378"/>
      <c r="Y52" s="378"/>
      <c r="Z52" s="305"/>
      <c r="AA52" s="542"/>
      <c r="AB52" s="542"/>
    </row>
    <row r="53" spans="10:28">
      <c r="J53" s="16"/>
      <c r="K53" s="16"/>
      <c r="L53" s="16"/>
      <c r="M53" s="16"/>
      <c r="N53" s="16"/>
      <c r="O53" s="16"/>
      <c r="P53" s="16"/>
      <c r="Q53" s="16"/>
      <c r="R53" s="16"/>
      <c r="S53" s="539" t="s">
        <v>478</v>
      </c>
      <c r="T53" s="378"/>
      <c r="U53" s="378"/>
      <c r="V53" s="378"/>
      <c r="W53" s="378"/>
      <c r="X53" s="378"/>
      <c r="Y53" s="378"/>
      <c r="Z53" s="305"/>
      <c r="AA53" s="542"/>
      <c r="AB53" s="542"/>
    </row>
    <row r="54" spans="10:28">
      <c r="J54"/>
      <c r="K54"/>
      <c r="L54"/>
      <c r="M54"/>
      <c r="N54"/>
      <c r="O54"/>
      <c r="P54"/>
      <c r="Q54"/>
      <c r="R54"/>
      <c r="S54" s="305"/>
      <c r="T54" s="305"/>
      <c r="U54" s="305"/>
      <c r="V54" s="305"/>
      <c r="W54" s="305"/>
      <c r="X54" s="305"/>
      <c r="Y54" s="305"/>
      <c r="Z54" s="305"/>
      <c r="AA54" s="542"/>
      <c r="AB54" s="542"/>
    </row>
    <row r="55" spans="10:28">
      <c r="J55"/>
      <c r="K55"/>
      <c r="L55"/>
      <c r="M55"/>
      <c r="N55"/>
      <c r="O55"/>
      <c r="P55"/>
      <c r="Q55"/>
      <c r="R55"/>
      <c r="S55" s="304" t="s">
        <v>479</v>
      </c>
      <c r="T55" s="305"/>
      <c r="U55" s="305"/>
      <c r="V55" s="305"/>
      <c r="W55" s="305"/>
      <c r="X55" s="305"/>
      <c r="Y55" s="305"/>
      <c r="Z55" s="305"/>
      <c r="AA55" s="542"/>
      <c r="AB55" s="542"/>
    </row>
    <row r="56" spans="10:28">
      <c r="J56"/>
      <c r="K56"/>
      <c r="L56"/>
      <c r="M56"/>
      <c r="N56"/>
      <c r="O56"/>
      <c r="P56"/>
      <c r="Q56"/>
      <c r="R56"/>
      <c r="S56" s="305"/>
      <c r="T56" s="305"/>
      <c r="U56" s="305"/>
      <c r="V56" s="305"/>
      <c r="W56" s="305"/>
      <c r="X56" s="305"/>
      <c r="Y56" s="305"/>
      <c r="Z56" s="305"/>
      <c r="AA56" s="542"/>
      <c r="AB56" s="542"/>
    </row>
    <row r="57" spans="10:28">
      <c r="J57"/>
      <c r="K57"/>
      <c r="L57"/>
      <c r="M57"/>
      <c r="N57"/>
      <c r="O57"/>
      <c r="P57"/>
      <c r="Q57"/>
      <c r="R57"/>
      <c r="S57"/>
      <c r="T57"/>
      <c r="U57"/>
      <c r="V57"/>
      <c r="W57"/>
      <c r="X57"/>
      <c r="Y57"/>
      <c r="Z57"/>
    </row>
  </sheetData>
  <mergeCells count="1">
    <mergeCell ref="J43:Q47"/>
  </mergeCells>
  <pageMargins left="0.78740157499999996" right="0.78740157499999996" top="0.984251969" bottom="0.984251969" header="0.4921259845" footer="0.492125984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J31"/>
  <sheetViews>
    <sheetView zoomScale="85" zoomScaleNormal="85" workbookViewId="0">
      <selection activeCell="J40" sqref="J40"/>
    </sheetView>
  </sheetViews>
  <sheetFormatPr baseColWidth="10" defaultRowHeight="12.75"/>
  <cols>
    <col min="1" max="1" width="2.42578125" customWidth="1"/>
  </cols>
  <sheetData>
    <row r="2" spans="2:5">
      <c r="B2" s="2" t="s">
        <v>169</v>
      </c>
    </row>
    <row r="4" spans="2:5">
      <c r="B4" t="s">
        <v>65</v>
      </c>
    </row>
    <row r="6" spans="2:5">
      <c r="B6" s="50" t="s">
        <v>142</v>
      </c>
    </row>
    <row r="7" spans="2:5">
      <c r="B7" s="18" t="s">
        <v>267</v>
      </c>
    </row>
    <row r="10" spans="2:5">
      <c r="B10" s="18" t="s">
        <v>256</v>
      </c>
      <c r="D10">
        <v>23.9</v>
      </c>
      <c r="E10" s="18" t="s">
        <v>269</v>
      </c>
    </row>
    <row r="11" spans="2:5">
      <c r="B11" s="18" t="s">
        <v>257</v>
      </c>
      <c r="D11">
        <v>380</v>
      </c>
      <c r="E11" s="18" t="s">
        <v>268</v>
      </c>
    </row>
    <row r="12" spans="2:5">
      <c r="B12" s="18" t="s">
        <v>258</v>
      </c>
      <c r="D12">
        <v>6.4</v>
      </c>
      <c r="E12" s="18" t="s">
        <v>269</v>
      </c>
    </row>
    <row r="15" spans="2:5">
      <c r="B15" s="2" t="s">
        <v>138</v>
      </c>
    </row>
    <row r="16" spans="2:5">
      <c r="B16" s="140" t="s">
        <v>139</v>
      </c>
    </row>
    <row r="17" spans="2:10">
      <c r="B17" s="140" t="s">
        <v>140</v>
      </c>
    </row>
    <row r="18" spans="2:10">
      <c r="B18" s="140" t="s">
        <v>141</v>
      </c>
    </row>
    <row r="19" spans="2:10" ht="13.5" thickBot="1"/>
    <row r="20" spans="2:10">
      <c r="B20" s="73"/>
      <c r="C20" s="73"/>
      <c r="D20" s="145"/>
      <c r="E20" s="146"/>
      <c r="F20" s="146"/>
      <c r="G20" s="146"/>
      <c r="H20" s="146"/>
      <c r="I20" s="146"/>
      <c r="J20" s="223"/>
    </row>
    <row r="21" spans="2:10">
      <c r="B21" s="73"/>
      <c r="C21" s="4"/>
      <c r="D21" s="147"/>
      <c r="E21" s="16" t="s">
        <v>480</v>
      </c>
      <c r="F21" s="523">
        <f>D11^2/4/PI()*D10*D12</f>
        <v>1757661.3548832815</v>
      </c>
      <c r="G21" s="16" t="s">
        <v>481</v>
      </c>
      <c r="H21" s="16"/>
      <c r="I21" s="16"/>
      <c r="J21" s="148"/>
    </row>
    <row r="22" spans="2:10">
      <c r="B22" s="73"/>
      <c r="C22" s="139"/>
      <c r="D22" s="147"/>
      <c r="E22" s="16" t="s">
        <v>482</v>
      </c>
      <c r="F22" s="16">
        <v>0.85</v>
      </c>
      <c r="G22" s="53" t="s">
        <v>483</v>
      </c>
      <c r="H22" s="16"/>
      <c r="I22" s="16"/>
      <c r="J22" s="148"/>
    </row>
    <row r="23" spans="2:10">
      <c r="B23" s="73"/>
      <c r="C23" s="139"/>
      <c r="D23" s="147"/>
      <c r="E23" s="16" t="s">
        <v>484</v>
      </c>
      <c r="F23" s="16">
        <v>1</v>
      </c>
      <c r="G23" s="16"/>
      <c r="H23" s="16"/>
      <c r="I23" s="16"/>
      <c r="J23" s="148"/>
    </row>
    <row r="24" spans="2:10">
      <c r="B24" s="73"/>
      <c r="C24" s="139"/>
      <c r="D24" s="147"/>
      <c r="E24" s="16" t="s">
        <v>485</v>
      </c>
      <c r="F24" s="16">
        <v>0.9</v>
      </c>
      <c r="G24" s="16" t="s">
        <v>486</v>
      </c>
      <c r="H24" s="16"/>
      <c r="I24" s="16"/>
      <c r="J24" s="148"/>
    </row>
    <row r="25" spans="2:10">
      <c r="B25" s="73"/>
      <c r="C25" s="139"/>
      <c r="D25" s="147"/>
      <c r="E25" s="16" t="s">
        <v>180</v>
      </c>
      <c r="F25" s="16">
        <v>1</v>
      </c>
      <c r="G25" s="16" t="s">
        <v>487</v>
      </c>
      <c r="H25" s="16"/>
      <c r="I25" s="16"/>
      <c r="J25" s="148"/>
    </row>
    <row r="26" spans="2:10">
      <c r="B26" s="73"/>
      <c r="C26" s="139"/>
      <c r="D26" s="147"/>
      <c r="E26" s="16" t="s">
        <v>488</v>
      </c>
      <c r="F26" s="16">
        <v>0.7</v>
      </c>
      <c r="G26" s="16" t="s">
        <v>489</v>
      </c>
      <c r="H26" s="16"/>
      <c r="I26" s="16"/>
      <c r="J26" s="148"/>
    </row>
    <row r="27" spans="2:10">
      <c r="B27" s="73"/>
      <c r="C27" s="139"/>
      <c r="D27" s="147"/>
      <c r="E27" s="16" t="s">
        <v>490</v>
      </c>
      <c r="F27" s="16">
        <v>1.4</v>
      </c>
      <c r="G27" s="16" t="s">
        <v>491</v>
      </c>
      <c r="H27" s="16"/>
      <c r="I27" s="16"/>
      <c r="J27" s="148"/>
    </row>
    <row r="28" spans="2:10">
      <c r="B28" s="73"/>
      <c r="C28" s="139"/>
      <c r="D28" s="147"/>
      <c r="E28" s="16"/>
      <c r="F28" s="16"/>
      <c r="G28" s="16"/>
      <c r="H28" s="16"/>
      <c r="I28" s="16"/>
      <c r="J28" s="148"/>
    </row>
    <row r="29" spans="2:10">
      <c r="B29" s="73"/>
      <c r="C29" s="139"/>
      <c r="D29" s="147"/>
      <c r="E29" s="53" t="s">
        <v>493</v>
      </c>
      <c r="F29" s="534">
        <f>F21*F22*F23*F24*F25*F26*F27/40.3399</f>
        <v>32665.393760420724</v>
      </c>
      <c r="G29" s="16" t="s">
        <v>492</v>
      </c>
      <c r="H29" s="53"/>
      <c r="I29" s="16"/>
      <c r="J29" s="148"/>
    </row>
    <row r="30" spans="2:10" ht="13.5" thickBot="1">
      <c r="B30" s="4"/>
      <c r="C30" s="139"/>
      <c r="D30" s="195"/>
      <c r="E30" s="532"/>
      <c r="F30" s="533"/>
      <c r="G30" s="149"/>
      <c r="H30" s="532"/>
      <c r="I30" s="149"/>
      <c r="J30" s="150"/>
    </row>
    <row r="31" spans="2:10">
      <c r="B31" s="73"/>
      <c r="C31" s="139"/>
    </row>
  </sheetData>
  <phoneticPr fontId="4" type="noConversion"/>
  <hyperlinks>
    <hyperlink ref="B16" r:id="rId1" xr:uid="{00000000-0004-0000-0700-000000000000}"/>
    <hyperlink ref="B17" r:id="rId2" xr:uid="{00000000-0004-0000-0700-000001000000}"/>
    <hyperlink ref="B18" r:id="rId3" xr:uid="{00000000-0004-0000-0700-000002000000}"/>
  </hyperlinks>
  <pageMargins left="0.78740157499999996" right="0.78740157499999996" top="0.984251969" bottom="0.984251969" header="0.4921259845" footer="0.4921259845"/>
  <pageSetup paperSize="9" orientation="portrait" r:id="rId4"/>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2:AA78"/>
  <sheetViews>
    <sheetView zoomScale="70" zoomScaleNormal="70" workbookViewId="0">
      <selection activeCell="Z48" sqref="Z48"/>
    </sheetView>
  </sheetViews>
  <sheetFormatPr baseColWidth="10" defaultRowHeight="12.75"/>
  <cols>
    <col min="1" max="1" width="3.42578125" style="105" customWidth="1"/>
    <col min="2" max="2" width="11.42578125" style="105"/>
    <col min="3" max="3" width="5" style="105" bestFit="1" customWidth="1"/>
    <col min="4" max="4" width="32.42578125" style="105" bestFit="1" customWidth="1"/>
    <col min="5" max="8" width="11.140625" style="105" customWidth="1"/>
    <col min="9" max="252" width="11.42578125" style="105"/>
    <col min="253" max="253" width="5" style="105" bestFit="1" customWidth="1"/>
    <col min="254" max="254" width="32.42578125" style="105" bestFit="1" customWidth="1"/>
    <col min="255" max="257" width="9.140625" style="105" bestFit="1" customWidth="1"/>
    <col min="258" max="258" width="11.140625" style="105" bestFit="1" customWidth="1"/>
    <col min="259" max="508" width="11.42578125" style="105"/>
    <col min="509" max="509" width="5" style="105" bestFit="1" customWidth="1"/>
    <col min="510" max="510" width="32.42578125" style="105" bestFit="1" customWidth="1"/>
    <col min="511" max="513" width="9.140625" style="105" bestFit="1" customWidth="1"/>
    <col min="514" max="514" width="11.140625" style="105" bestFit="1" customWidth="1"/>
    <col min="515" max="764" width="11.42578125" style="105"/>
    <col min="765" max="765" width="5" style="105" bestFit="1" customWidth="1"/>
    <col min="766" max="766" width="32.42578125" style="105" bestFit="1" customWidth="1"/>
    <col min="767" max="769" width="9.140625" style="105" bestFit="1" customWidth="1"/>
    <col min="770" max="770" width="11.140625" style="105" bestFit="1" customWidth="1"/>
    <col min="771" max="1020" width="11.42578125" style="105"/>
    <col min="1021" max="1021" width="5" style="105" bestFit="1" customWidth="1"/>
    <col min="1022" max="1022" width="32.42578125" style="105" bestFit="1" customWidth="1"/>
    <col min="1023" max="1025" width="9.140625" style="105" bestFit="1" customWidth="1"/>
    <col min="1026" max="1026" width="11.140625" style="105" bestFit="1" customWidth="1"/>
    <col min="1027" max="1276" width="11.42578125" style="105"/>
    <col min="1277" max="1277" width="5" style="105" bestFit="1" customWidth="1"/>
    <col min="1278" max="1278" width="32.42578125" style="105" bestFit="1" customWidth="1"/>
    <col min="1279" max="1281" width="9.140625" style="105" bestFit="1" customWidth="1"/>
    <col min="1282" max="1282" width="11.140625" style="105" bestFit="1" customWidth="1"/>
    <col min="1283" max="1532" width="11.42578125" style="105"/>
    <col min="1533" max="1533" width="5" style="105" bestFit="1" customWidth="1"/>
    <col min="1534" max="1534" width="32.42578125" style="105" bestFit="1" customWidth="1"/>
    <col min="1535" max="1537" width="9.140625" style="105" bestFit="1" customWidth="1"/>
    <col min="1538" max="1538" width="11.140625" style="105" bestFit="1" customWidth="1"/>
    <col min="1539" max="1788" width="11.42578125" style="105"/>
    <col min="1789" max="1789" width="5" style="105" bestFit="1" customWidth="1"/>
    <col min="1790" max="1790" width="32.42578125" style="105" bestFit="1" customWidth="1"/>
    <col min="1791" max="1793" width="9.140625" style="105" bestFit="1" customWidth="1"/>
    <col min="1794" max="1794" width="11.140625" style="105" bestFit="1" customWidth="1"/>
    <col min="1795" max="2044" width="11.42578125" style="105"/>
    <col min="2045" max="2045" width="5" style="105" bestFit="1" customWidth="1"/>
    <col min="2046" max="2046" width="32.42578125" style="105" bestFit="1" customWidth="1"/>
    <col min="2047" max="2049" width="9.140625" style="105" bestFit="1" customWidth="1"/>
    <col min="2050" max="2050" width="11.140625" style="105" bestFit="1" customWidth="1"/>
    <col min="2051" max="2300" width="11.42578125" style="105"/>
    <col min="2301" max="2301" width="5" style="105" bestFit="1" customWidth="1"/>
    <col min="2302" max="2302" width="32.42578125" style="105" bestFit="1" customWidth="1"/>
    <col min="2303" max="2305" width="9.140625" style="105" bestFit="1" customWidth="1"/>
    <col min="2306" max="2306" width="11.140625" style="105" bestFit="1" customWidth="1"/>
    <col min="2307" max="2556" width="11.42578125" style="105"/>
    <col min="2557" max="2557" width="5" style="105" bestFit="1" customWidth="1"/>
    <col min="2558" max="2558" width="32.42578125" style="105" bestFit="1" customWidth="1"/>
    <col min="2559" max="2561" width="9.140625" style="105" bestFit="1" customWidth="1"/>
    <col min="2562" max="2562" width="11.140625" style="105" bestFit="1" customWidth="1"/>
    <col min="2563" max="2812" width="11.42578125" style="105"/>
    <col min="2813" max="2813" width="5" style="105" bestFit="1" customWidth="1"/>
    <col min="2814" max="2814" width="32.42578125" style="105" bestFit="1" customWidth="1"/>
    <col min="2815" max="2817" width="9.140625" style="105" bestFit="1" customWidth="1"/>
    <col min="2818" max="2818" width="11.140625" style="105" bestFit="1" customWidth="1"/>
    <col min="2819" max="3068" width="11.42578125" style="105"/>
    <col min="3069" max="3069" width="5" style="105" bestFit="1" customWidth="1"/>
    <col min="3070" max="3070" width="32.42578125" style="105" bestFit="1" customWidth="1"/>
    <col min="3071" max="3073" width="9.140625" style="105" bestFit="1" customWidth="1"/>
    <col min="3074" max="3074" width="11.140625" style="105" bestFit="1" customWidth="1"/>
    <col min="3075" max="3324" width="11.42578125" style="105"/>
    <col min="3325" max="3325" width="5" style="105" bestFit="1" customWidth="1"/>
    <col min="3326" max="3326" width="32.42578125" style="105" bestFit="1" customWidth="1"/>
    <col min="3327" max="3329" width="9.140625" style="105" bestFit="1" customWidth="1"/>
    <col min="3330" max="3330" width="11.140625" style="105" bestFit="1" customWidth="1"/>
    <col min="3331" max="3580" width="11.42578125" style="105"/>
    <col min="3581" max="3581" width="5" style="105" bestFit="1" customWidth="1"/>
    <col min="3582" max="3582" width="32.42578125" style="105" bestFit="1" customWidth="1"/>
    <col min="3583" max="3585" width="9.140625" style="105" bestFit="1" customWidth="1"/>
    <col min="3586" max="3586" width="11.140625" style="105" bestFit="1" customWidth="1"/>
    <col min="3587" max="3836" width="11.42578125" style="105"/>
    <col min="3837" max="3837" width="5" style="105" bestFit="1" customWidth="1"/>
    <col min="3838" max="3838" width="32.42578125" style="105" bestFit="1" customWidth="1"/>
    <col min="3839" max="3841" width="9.140625" style="105" bestFit="1" customWidth="1"/>
    <col min="3842" max="3842" width="11.140625" style="105" bestFit="1" customWidth="1"/>
    <col min="3843" max="4092" width="11.42578125" style="105"/>
    <col min="4093" max="4093" width="5" style="105" bestFit="1" customWidth="1"/>
    <col min="4094" max="4094" width="32.42578125" style="105" bestFit="1" customWidth="1"/>
    <col min="4095" max="4097" width="9.140625" style="105" bestFit="1" customWidth="1"/>
    <col min="4098" max="4098" width="11.140625" style="105" bestFit="1" customWidth="1"/>
    <col min="4099" max="4348" width="11.42578125" style="105"/>
    <col min="4349" max="4349" width="5" style="105" bestFit="1" customWidth="1"/>
    <col min="4350" max="4350" width="32.42578125" style="105" bestFit="1" customWidth="1"/>
    <col min="4351" max="4353" width="9.140625" style="105" bestFit="1" customWidth="1"/>
    <col min="4354" max="4354" width="11.140625" style="105" bestFit="1" customWidth="1"/>
    <col min="4355" max="4604" width="11.42578125" style="105"/>
    <col min="4605" max="4605" width="5" style="105" bestFit="1" customWidth="1"/>
    <col min="4606" max="4606" width="32.42578125" style="105" bestFit="1" customWidth="1"/>
    <col min="4607" max="4609" width="9.140625" style="105" bestFit="1" customWidth="1"/>
    <col min="4610" max="4610" width="11.140625" style="105" bestFit="1" customWidth="1"/>
    <col min="4611" max="4860" width="11.42578125" style="105"/>
    <col min="4861" max="4861" width="5" style="105" bestFit="1" customWidth="1"/>
    <col min="4862" max="4862" width="32.42578125" style="105" bestFit="1" customWidth="1"/>
    <col min="4863" max="4865" width="9.140625" style="105" bestFit="1" customWidth="1"/>
    <col min="4866" max="4866" width="11.140625" style="105" bestFit="1" customWidth="1"/>
    <col min="4867" max="5116" width="11.42578125" style="105"/>
    <col min="5117" max="5117" width="5" style="105" bestFit="1" customWidth="1"/>
    <col min="5118" max="5118" width="32.42578125" style="105" bestFit="1" customWidth="1"/>
    <col min="5119" max="5121" width="9.140625" style="105" bestFit="1" customWidth="1"/>
    <col min="5122" max="5122" width="11.140625" style="105" bestFit="1" customWidth="1"/>
    <col min="5123" max="5372" width="11.42578125" style="105"/>
    <col min="5373" max="5373" width="5" style="105" bestFit="1" customWidth="1"/>
    <col min="5374" max="5374" width="32.42578125" style="105" bestFit="1" customWidth="1"/>
    <col min="5375" max="5377" width="9.140625" style="105" bestFit="1" customWidth="1"/>
    <col min="5378" max="5378" width="11.140625" style="105" bestFit="1" customWidth="1"/>
    <col min="5379" max="5628" width="11.42578125" style="105"/>
    <col min="5629" max="5629" width="5" style="105" bestFit="1" customWidth="1"/>
    <col min="5630" max="5630" width="32.42578125" style="105" bestFit="1" customWidth="1"/>
    <col min="5631" max="5633" width="9.140625" style="105" bestFit="1" customWidth="1"/>
    <col min="5634" max="5634" width="11.140625" style="105" bestFit="1" customWidth="1"/>
    <col min="5635" max="5884" width="11.42578125" style="105"/>
    <col min="5885" max="5885" width="5" style="105" bestFit="1" customWidth="1"/>
    <col min="5886" max="5886" width="32.42578125" style="105" bestFit="1" customWidth="1"/>
    <col min="5887" max="5889" width="9.140625" style="105" bestFit="1" customWidth="1"/>
    <col min="5890" max="5890" width="11.140625" style="105" bestFit="1" customWidth="1"/>
    <col min="5891" max="6140" width="11.42578125" style="105"/>
    <col min="6141" max="6141" width="5" style="105" bestFit="1" customWidth="1"/>
    <col min="6142" max="6142" width="32.42578125" style="105" bestFit="1" customWidth="1"/>
    <col min="6143" max="6145" width="9.140625" style="105" bestFit="1" customWidth="1"/>
    <col min="6146" max="6146" width="11.140625" style="105" bestFit="1" customWidth="1"/>
    <col min="6147" max="6396" width="11.42578125" style="105"/>
    <col min="6397" max="6397" width="5" style="105" bestFit="1" customWidth="1"/>
    <col min="6398" max="6398" width="32.42578125" style="105" bestFit="1" customWidth="1"/>
    <col min="6399" max="6401" width="9.140625" style="105" bestFit="1" customWidth="1"/>
    <col min="6402" max="6402" width="11.140625" style="105" bestFit="1" customWidth="1"/>
    <col min="6403" max="6652" width="11.42578125" style="105"/>
    <col min="6653" max="6653" width="5" style="105" bestFit="1" customWidth="1"/>
    <col min="6654" max="6654" width="32.42578125" style="105" bestFit="1" customWidth="1"/>
    <col min="6655" max="6657" width="9.140625" style="105" bestFit="1" customWidth="1"/>
    <col min="6658" max="6658" width="11.140625" style="105" bestFit="1" customWidth="1"/>
    <col min="6659" max="6908" width="11.42578125" style="105"/>
    <col min="6909" max="6909" width="5" style="105" bestFit="1" customWidth="1"/>
    <col min="6910" max="6910" width="32.42578125" style="105" bestFit="1" customWidth="1"/>
    <col min="6911" max="6913" width="9.140625" style="105" bestFit="1" customWidth="1"/>
    <col min="6914" max="6914" width="11.140625" style="105" bestFit="1" customWidth="1"/>
    <col min="6915" max="7164" width="11.42578125" style="105"/>
    <col min="7165" max="7165" width="5" style="105" bestFit="1" customWidth="1"/>
    <col min="7166" max="7166" width="32.42578125" style="105" bestFit="1" customWidth="1"/>
    <col min="7167" max="7169" width="9.140625" style="105" bestFit="1" customWidth="1"/>
    <col min="7170" max="7170" width="11.140625" style="105" bestFit="1" customWidth="1"/>
    <col min="7171" max="7420" width="11.42578125" style="105"/>
    <col min="7421" max="7421" width="5" style="105" bestFit="1" customWidth="1"/>
    <col min="7422" max="7422" width="32.42578125" style="105" bestFit="1" customWidth="1"/>
    <col min="7423" max="7425" width="9.140625" style="105" bestFit="1" customWidth="1"/>
    <col min="7426" max="7426" width="11.140625" style="105" bestFit="1" customWidth="1"/>
    <col min="7427" max="7676" width="11.42578125" style="105"/>
    <col min="7677" max="7677" width="5" style="105" bestFit="1" customWidth="1"/>
    <col min="7678" max="7678" width="32.42578125" style="105" bestFit="1" customWidth="1"/>
    <col min="7679" max="7681" width="9.140625" style="105" bestFit="1" customWidth="1"/>
    <col min="7682" max="7682" width="11.140625" style="105" bestFit="1" customWidth="1"/>
    <col min="7683" max="7932" width="11.42578125" style="105"/>
    <col min="7933" max="7933" width="5" style="105" bestFit="1" customWidth="1"/>
    <col min="7934" max="7934" width="32.42578125" style="105" bestFit="1" customWidth="1"/>
    <col min="7935" max="7937" width="9.140625" style="105" bestFit="1" customWidth="1"/>
    <col min="7938" max="7938" width="11.140625" style="105" bestFit="1" customWidth="1"/>
    <col min="7939" max="8188" width="11.42578125" style="105"/>
    <col min="8189" max="8189" width="5" style="105" bestFit="1" customWidth="1"/>
    <col min="8190" max="8190" width="32.42578125" style="105" bestFit="1" customWidth="1"/>
    <col min="8191" max="8193" width="9.140625" style="105" bestFit="1" customWidth="1"/>
    <col min="8194" max="8194" width="11.140625" style="105" bestFit="1" customWidth="1"/>
    <col min="8195" max="8444" width="11.42578125" style="105"/>
    <col min="8445" max="8445" width="5" style="105" bestFit="1" customWidth="1"/>
    <col min="8446" max="8446" width="32.42578125" style="105" bestFit="1" customWidth="1"/>
    <col min="8447" max="8449" width="9.140625" style="105" bestFit="1" customWidth="1"/>
    <col min="8450" max="8450" width="11.140625" style="105" bestFit="1" customWidth="1"/>
    <col min="8451" max="8700" width="11.42578125" style="105"/>
    <col min="8701" max="8701" width="5" style="105" bestFit="1" customWidth="1"/>
    <col min="8702" max="8702" width="32.42578125" style="105" bestFit="1" customWidth="1"/>
    <col min="8703" max="8705" width="9.140625" style="105" bestFit="1" customWidth="1"/>
    <col min="8706" max="8706" width="11.140625" style="105" bestFit="1" customWidth="1"/>
    <col min="8707" max="8956" width="11.42578125" style="105"/>
    <col min="8957" max="8957" width="5" style="105" bestFit="1" customWidth="1"/>
    <col min="8958" max="8958" width="32.42578125" style="105" bestFit="1" customWidth="1"/>
    <col min="8959" max="8961" width="9.140625" style="105" bestFit="1" customWidth="1"/>
    <col min="8962" max="8962" width="11.140625" style="105" bestFit="1" customWidth="1"/>
    <col min="8963" max="9212" width="11.42578125" style="105"/>
    <col min="9213" max="9213" width="5" style="105" bestFit="1" customWidth="1"/>
    <col min="9214" max="9214" width="32.42578125" style="105" bestFit="1" customWidth="1"/>
    <col min="9215" max="9217" width="9.140625" style="105" bestFit="1" customWidth="1"/>
    <col min="9218" max="9218" width="11.140625" style="105" bestFit="1" customWidth="1"/>
    <col min="9219" max="9468" width="11.42578125" style="105"/>
    <col min="9469" max="9469" width="5" style="105" bestFit="1" customWidth="1"/>
    <col min="9470" max="9470" width="32.42578125" style="105" bestFit="1" customWidth="1"/>
    <col min="9471" max="9473" width="9.140625" style="105" bestFit="1" customWidth="1"/>
    <col min="9474" max="9474" width="11.140625" style="105" bestFit="1" customWidth="1"/>
    <col min="9475" max="9724" width="11.42578125" style="105"/>
    <col min="9725" max="9725" width="5" style="105" bestFit="1" customWidth="1"/>
    <col min="9726" max="9726" width="32.42578125" style="105" bestFit="1" customWidth="1"/>
    <col min="9727" max="9729" width="9.140625" style="105" bestFit="1" customWidth="1"/>
    <col min="9730" max="9730" width="11.140625" style="105" bestFit="1" customWidth="1"/>
    <col min="9731" max="9980" width="11.42578125" style="105"/>
    <col min="9981" max="9981" width="5" style="105" bestFit="1" customWidth="1"/>
    <col min="9982" max="9982" width="32.42578125" style="105" bestFit="1" customWidth="1"/>
    <col min="9983" max="9985" width="9.140625" style="105" bestFit="1" customWidth="1"/>
    <col min="9986" max="9986" width="11.140625" style="105" bestFit="1" customWidth="1"/>
    <col min="9987" max="10236" width="11.42578125" style="105"/>
    <col min="10237" max="10237" width="5" style="105" bestFit="1" customWidth="1"/>
    <col min="10238" max="10238" width="32.42578125" style="105" bestFit="1" customWidth="1"/>
    <col min="10239" max="10241" width="9.140625" style="105" bestFit="1" customWidth="1"/>
    <col min="10242" max="10242" width="11.140625" style="105" bestFit="1" customWidth="1"/>
    <col min="10243" max="10492" width="11.42578125" style="105"/>
    <col min="10493" max="10493" width="5" style="105" bestFit="1" customWidth="1"/>
    <col min="10494" max="10494" width="32.42578125" style="105" bestFit="1" customWidth="1"/>
    <col min="10495" max="10497" width="9.140625" style="105" bestFit="1" customWidth="1"/>
    <col min="10498" max="10498" width="11.140625" style="105" bestFit="1" customWidth="1"/>
    <col min="10499" max="10748" width="11.42578125" style="105"/>
    <col min="10749" max="10749" width="5" style="105" bestFit="1" customWidth="1"/>
    <col min="10750" max="10750" width="32.42578125" style="105" bestFit="1" customWidth="1"/>
    <col min="10751" max="10753" width="9.140625" style="105" bestFit="1" customWidth="1"/>
    <col min="10754" max="10754" width="11.140625" style="105" bestFit="1" customWidth="1"/>
    <col min="10755" max="11004" width="11.42578125" style="105"/>
    <col min="11005" max="11005" width="5" style="105" bestFit="1" customWidth="1"/>
    <col min="11006" max="11006" width="32.42578125" style="105" bestFit="1" customWidth="1"/>
    <col min="11007" max="11009" width="9.140625" style="105" bestFit="1" customWidth="1"/>
    <col min="11010" max="11010" width="11.140625" style="105" bestFit="1" customWidth="1"/>
    <col min="11011" max="11260" width="11.42578125" style="105"/>
    <col min="11261" max="11261" width="5" style="105" bestFit="1" customWidth="1"/>
    <col min="11262" max="11262" width="32.42578125" style="105" bestFit="1" customWidth="1"/>
    <col min="11263" max="11265" width="9.140625" style="105" bestFit="1" customWidth="1"/>
    <col min="11266" max="11266" width="11.140625" style="105" bestFit="1" customWidth="1"/>
    <col min="11267" max="11516" width="11.42578125" style="105"/>
    <col min="11517" max="11517" width="5" style="105" bestFit="1" customWidth="1"/>
    <col min="11518" max="11518" width="32.42578125" style="105" bestFit="1" customWidth="1"/>
    <col min="11519" max="11521" width="9.140625" style="105" bestFit="1" customWidth="1"/>
    <col min="11522" max="11522" width="11.140625" style="105" bestFit="1" customWidth="1"/>
    <col min="11523" max="11772" width="11.42578125" style="105"/>
    <col min="11773" max="11773" width="5" style="105" bestFit="1" customWidth="1"/>
    <col min="11774" max="11774" width="32.42578125" style="105" bestFit="1" customWidth="1"/>
    <col min="11775" max="11777" width="9.140625" style="105" bestFit="1" customWidth="1"/>
    <col min="11778" max="11778" width="11.140625" style="105" bestFit="1" customWidth="1"/>
    <col min="11779" max="12028" width="11.42578125" style="105"/>
    <col min="12029" max="12029" width="5" style="105" bestFit="1" customWidth="1"/>
    <col min="12030" max="12030" width="32.42578125" style="105" bestFit="1" customWidth="1"/>
    <col min="12031" max="12033" width="9.140625" style="105" bestFit="1" customWidth="1"/>
    <col min="12034" max="12034" width="11.140625" style="105" bestFit="1" customWidth="1"/>
    <col min="12035" max="12284" width="11.42578125" style="105"/>
    <col min="12285" max="12285" width="5" style="105" bestFit="1" customWidth="1"/>
    <col min="12286" max="12286" width="32.42578125" style="105" bestFit="1" customWidth="1"/>
    <col min="12287" max="12289" width="9.140625" style="105" bestFit="1" customWidth="1"/>
    <col min="12290" max="12290" width="11.140625" style="105" bestFit="1" customWidth="1"/>
    <col min="12291" max="12540" width="11.42578125" style="105"/>
    <col min="12541" max="12541" width="5" style="105" bestFit="1" customWidth="1"/>
    <col min="12542" max="12542" width="32.42578125" style="105" bestFit="1" customWidth="1"/>
    <col min="12543" max="12545" width="9.140625" style="105" bestFit="1" customWidth="1"/>
    <col min="12546" max="12546" width="11.140625" style="105" bestFit="1" customWidth="1"/>
    <col min="12547" max="12796" width="11.42578125" style="105"/>
    <col min="12797" max="12797" width="5" style="105" bestFit="1" customWidth="1"/>
    <col min="12798" max="12798" width="32.42578125" style="105" bestFit="1" customWidth="1"/>
    <col min="12799" max="12801" width="9.140625" style="105" bestFit="1" customWidth="1"/>
    <col min="12802" max="12802" width="11.140625" style="105" bestFit="1" customWidth="1"/>
    <col min="12803" max="13052" width="11.42578125" style="105"/>
    <col min="13053" max="13053" width="5" style="105" bestFit="1" customWidth="1"/>
    <col min="13054" max="13054" width="32.42578125" style="105" bestFit="1" customWidth="1"/>
    <col min="13055" max="13057" width="9.140625" style="105" bestFit="1" customWidth="1"/>
    <col min="13058" max="13058" width="11.140625" style="105" bestFit="1" customWidth="1"/>
    <col min="13059" max="13308" width="11.42578125" style="105"/>
    <col min="13309" max="13309" width="5" style="105" bestFit="1" customWidth="1"/>
    <col min="13310" max="13310" width="32.42578125" style="105" bestFit="1" customWidth="1"/>
    <col min="13311" max="13313" width="9.140625" style="105" bestFit="1" customWidth="1"/>
    <col min="13314" max="13314" width="11.140625" style="105" bestFit="1" customWidth="1"/>
    <col min="13315" max="13564" width="11.42578125" style="105"/>
    <col min="13565" max="13565" width="5" style="105" bestFit="1" customWidth="1"/>
    <col min="13566" max="13566" width="32.42578125" style="105" bestFit="1" customWidth="1"/>
    <col min="13567" max="13569" width="9.140625" style="105" bestFit="1" customWidth="1"/>
    <col min="13570" max="13570" width="11.140625" style="105" bestFit="1" customWidth="1"/>
    <col min="13571" max="13820" width="11.42578125" style="105"/>
    <col min="13821" max="13821" width="5" style="105" bestFit="1" customWidth="1"/>
    <col min="13822" max="13822" width="32.42578125" style="105" bestFit="1" customWidth="1"/>
    <col min="13823" max="13825" width="9.140625" style="105" bestFit="1" customWidth="1"/>
    <col min="13826" max="13826" width="11.140625" style="105" bestFit="1" customWidth="1"/>
    <col min="13827" max="14076" width="11.42578125" style="105"/>
    <col min="14077" max="14077" width="5" style="105" bestFit="1" customWidth="1"/>
    <col min="14078" max="14078" width="32.42578125" style="105" bestFit="1" customWidth="1"/>
    <col min="14079" max="14081" width="9.140625" style="105" bestFit="1" customWidth="1"/>
    <col min="14082" max="14082" width="11.140625" style="105" bestFit="1" customWidth="1"/>
    <col min="14083" max="14332" width="11.42578125" style="105"/>
    <col min="14333" max="14333" width="5" style="105" bestFit="1" customWidth="1"/>
    <col min="14334" max="14334" width="32.42578125" style="105" bestFit="1" customWidth="1"/>
    <col min="14335" max="14337" width="9.140625" style="105" bestFit="1" customWidth="1"/>
    <col min="14338" max="14338" width="11.140625" style="105" bestFit="1" customWidth="1"/>
    <col min="14339" max="14588" width="11.42578125" style="105"/>
    <col min="14589" max="14589" width="5" style="105" bestFit="1" customWidth="1"/>
    <col min="14590" max="14590" width="32.42578125" style="105" bestFit="1" customWidth="1"/>
    <col min="14591" max="14593" width="9.140625" style="105" bestFit="1" customWidth="1"/>
    <col min="14594" max="14594" width="11.140625" style="105" bestFit="1" customWidth="1"/>
    <col min="14595" max="14844" width="11.42578125" style="105"/>
    <col min="14845" max="14845" width="5" style="105" bestFit="1" customWidth="1"/>
    <col min="14846" max="14846" width="32.42578125" style="105" bestFit="1" customWidth="1"/>
    <col min="14847" max="14849" width="9.140625" style="105" bestFit="1" customWidth="1"/>
    <col min="14850" max="14850" width="11.140625" style="105" bestFit="1" customWidth="1"/>
    <col min="14851" max="15100" width="11.42578125" style="105"/>
    <col min="15101" max="15101" width="5" style="105" bestFit="1" customWidth="1"/>
    <col min="15102" max="15102" width="32.42578125" style="105" bestFit="1" customWidth="1"/>
    <col min="15103" max="15105" width="9.140625" style="105" bestFit="1" customWidth="1"/>
    <col min="15106" max="15106" width="11.140625" style="105" bestFit="1" customWidth="1"/>
    <col min="15107" max="15356" width="11.42578125" style="105"/>
    <col min="15357" max="15357" width="5" style="105" bestFit="1" customWidth="1"/>
    <col min="15358" max="15358" width="32.42578125" style="105" bestFit="1" customWidth="1"/>
    <col min="15359" max="15361" width="9.140625" style="105" bestFit="1" customWidth="1"/>
    <col min="15362" max="15362" width="11.140625" style="105" bestFit="1" customWidth="1"/>
    <col min="15363" max="15612" width="11.42578125" style="105"/>
    <col min="15613" max="15613" width="5" style="105" bestFit="1" customWidth="1"/>
    <col min="15614" max="15614" width="32.42578125" style="105" bestFit="1" customWidth="1"/>
    <col min="15615" max="15617" width="9.140625" style="105" bestFit="1" customWidth="1"/>
    <col min="15618" max="15618" width="11.140625" style="105" bestFit="1" customWidth="1"/>
    <col min="15619" max="15868" width="11.42578125" style="105"/>
    <col min="15869" max="15869" width="5" style="105" bestFit="1" customWidth="1"/>
    <col min="15870" max="15870" width="32.42578125" style="105" bestFit="1" customWidth="1"/>
    <col min="15871" max="15873" width="9.140625" style="105" bestFit="1" customWidth="1"/>
    <col min="15874" max="15874" width="11.140625" style="105" bestFit="1" customWidth="1"/>
    <col min="15875" max="16124" width="11.42578125" style="105"/>
    <col min="16125" max="16125" width="5" style="105" bestFit="1" customWidth="1"/>
    <col min="16126" max="16126" width="32.42578125" style="105" bestFit="1" customWidth="1"/>
    <col min="16127" max="16129" width="9.140625" style="105" bestFit="1" customWidth="1"/>
    <col min="16130" max="16130" width="11.140625" style="105" bestFit="1" customWidth="1"/>
    <col min="16131" max="16384" width="11.42578125" style="105"/>
  </cols>
  <sheetData>
    <row r="2" spans="2:24">
      <c r="B2" s="106" t="s">
        <v>167</v>
      </c>
    </row>
    <row r="4" spans="2:24">
      <c r="B4" s="105" t="s">
        <v>186</v>
      </c>
    </row>
    <row r="5" spans="2:24">
      <c r="B5" s="105" t="s">
        <v>171</v>
      </c>
    </row>
    <row r="7" spans="2:24">
      <c r="B7" s="105" t="s">
        <v>176</v>
      </c>
    </row>
    <row r="8" spans="2:24" ht="13.5" thickBot="1">
      <c r="K8" s="106" t="s">
        <v>499</v>
      </c>
      <c r="P8" s="106" t="s">
        <v>500</v>
      </c>
      <c r="U8" s="106" t="s">
        <v>505</v>
      </c>
    </row>
    <row r="9" spans="2:24">
      <c r="D9" s="108" t="s">
        <v>173</v>
      </c>
      <c r="E9" s="104">
        <v>204</v>
      </c>
      <c r="F9" s="104">
        <v>156</v>
      </c>
      <c r="G9" s="104">
        <v>123</v>
      </c>
      <c r="H9" s="104">
        <v>100</v>
      </c>
      <c r="J9" s="104"/>
      <c r="K9" s="547"/>
      <c r="L9" s="548"/>
      <c r="M9" s="548"/>
      <c r="N9" s="548"/>
      <c r="O9" s="549"/>
      <c r="P9" s="567" t="s">
        <v>328</v>
      </c>
      <c r="Q9" s="535">
        <f>N44</f>
        <v>1.9812888346597779E-2</v>
      </c>
      <c r="R9" s="567"/>
      <c r="S9" s="568"/>
      <c r="U9" s="585" t="s">
        <v>328</v>
      </c>
      <c r="V9" s="535">
        <v>0.02</v>
      </c>
      <c r="W9" s="586"/>
      <c r="X9" s="587"/>
    </row>
    <row r="10" spans="2:24" ht="13.5" thickBot="1">
      <c r="D10" s="108" t="s">
        <v>174</v>
      </c>
      <c r="E10" s="104" t="s">
        <v>182</v>
      </c>
      <c r="F10" s="104" t="s">
        <v>183</v>
      </c>
      <c r="G10" s="104" t="s">
        <v>184</v>
      </c>
      <c r="H10" s="104" t="s">
        <v>185</v>
      </c>
      <c r="J10" s="104"/>
      <c r="K10" s="550"/>
      <c r="L10" s="551"/>
      <c r="M10" s="551"/>
      <c r="N10" s="551"/>
      <c r="O10" s="552"/>
      <c r="P10" s="569"/>
      <c r="Q10" s="569"/>
      <c r="R10" s="569"/>
      <c r="S10" s="570"/>
      <c r="U10" s="588"/>
      <c r="V10" s="589"/>
      <c r="W10" s="589"/>
      <c r="X10" s="590"/>
    </row>
    <row r="11" spans="2:24" ht="13.5" thickBot="1">
      <c r="C11" s="104" t="s">
        <v>177</v>
      </c>
      <c r="D11" s="104" t="s">
        <v>178</v>
      </c>
      <c r="J11" s="104"/>
      <c r="K11" s="553" t="s">
        <v>1</v>
      </c>
      <c r="L11" s="554" t="s">
        <v>323</v>
      </c>
      <c r="M11" s="554" t="s">
        <v>324</v>
      </c>
      <c r="N11" s="554" t="s">
        <v>325</v>
      </c>
      <c r="O11" s="555" t="s">
        <v>326</v>
      </c>
      <c r="P11" s="571" t="s">
        <v>494</v>
      </c>
      <c r="Q11" s="571" t="s">
        <v>495</v>
      </c>
      <c r="R11" s="571" t="s">
        <v>496</v>
      </c>
      <c r="S11" s="572" t="s">
        <v>497</v>
      </c>
      <c r="U11" s="591" t="s">
        <v>501</v>
      </c>
      <c r="V11" s="592" t="s">
        <v>502</v>
      </c>
      <c r="W11" s="592" t="s">
        <v>503</v>
      </c>
      <c r="X11" s="593" t="s">
        <v>504</v>
      </c>
    </row>
    <row r="12" spans="2:24">
      <c r="C12" s="104">
        <v>0</v>
      </c>
      <c r="D12" s="104" t="s">
        <v>180</v>
      </c>
      <c r="E12" s="107">
        <v>3060</v>
      </c>
      <c r="F12" s="107">
        <v>2340</v>
      </c>
      <c r="G12" s="107">
        <v>1845</v>
      </c>
      <c r="H12" s="107">
        <v>1500</v>
      </c>
      <c r="J12" s="104"/>
      <c r="K12" s="556">
        <v>0</v>
      </c>
      <c r="L12" s="557">
        <f>-7500-E12</f>
        <v>-10560</v>
      </c>
      <c r="M12" s="557">
        <f t="shared" ref="M12:O12" si="0">-7500-F12</f>
        <v>-9840</v>
      </c>
      <c r="N12" s="557">
        <f t="shared" si="0"/>
        <v>-9345</v>
      </c>
      <c r="O12" s="558">
        <f t="shared" si="0"/>
        <v>-9000</v>
      </c>
      <c r="P12" s="573">
        <f t="shared" ref="P12:P42" si="1">L12/(1+$Q$9)^$K12</f>
        <v>-10560</v>
      </c>
      <c r="Q12" s="573">
        <f t="shared" ref="Q12:Q42" si="2">M12/(1+$Q$9)^$K12</f>
        <v>-9840</v>
      </c>
      <c r="R12" s="573">
        <f t="shared" ref="R12:R42" si="3">N12/(1+$Q$9)^$K12</f>
        <v>-9345</v>
      </c>
      <c r="S12" s="574">
        <f t="shared" ref="S12:S42" si="4">O12/(1+$Q$9)^$K12</f>
        <v>-9000</v>
      </c>
      <c r="U12" s="594">
        <f>-E12</f>
        <v>-3060</v>
      </c>
      <c r="V12" s="595">
        <f t="shared" ref="V12:X12" si="5">-F12</f>
        <v>-2340</v>
      </c>
      <c r="W12" s="595">
        <f t="shared" si="5"/>
        <v>-1845</v>
      </c>
      <c r="X12" s="596">
        <f t="shared" si="5"/>
        <v>-1500</v>
      </c>
    </row>
    <row r="13" spans="2:24">
      <c r="C13" s="104">
        <v>5</v>
      </c>
      <c r="D13" s="104" t="s">
        <v>175</v>
      </c>
      <c r="E13" s="107">
        <v>591.6</v>
      </c>
      <c r="F13" s="107">
        <v>452.4</v>
      </c>
      <c r="G13" s="107">
        <v>356.7</v>
      </c>
      <c r="H13" s="107">
        <v>290</v>
      </c>
      <c r="K13" s="559">
        <v>1</v>
      </c>
      <c r="L13" s="560">
        <v>0</v>
      </c>
      <c r="M13" s="560">
        <v>0</v>
      </c>
      <c r="N13" s="560">
        <v>0</v>
      </c>
      <c r="O13" s="561">
        <v>0</v>
      </c>
      <c r="P13" s="575">
        <f t="shared" si="1"/>
        <v>0</v>
      </c>
      <c r="Q13" s="575">
        <f t="shared" si="2"/>
        <v>0</v>
      </c>
      <c r="R13" s="575">
        <f t="shared" si="3"/>
        <v>0</v>
      </c>
      <c r="S13" s="576">
        <f t="shared" si="4"/>
        <v>0</v>
      </c>
      <c r="U13" s="597">
        <f>L13/(1+$V$9)^$K13</f>
        <v>0</v>
      </c>
      <c r="V13" s="598">
        <f t="shared" ref="V13:X28" si="6">M13/(1+$V$9)^$K13</f>
        <v>0</v>
      </c>
      <c r="W13" s="598">
        <f t="shared" si="6"/>
        <v>0</v>
      </c>
      <c r="X13" s="599">
        <f t="shared" si="6"/>
        <v>0</v>
      </c>
    </row>
    <row r="14" spans="2:24">
      <c r="C14" s="104">
        <v>10</v>
      </c>
      <c r="D14" s="104" t="s">
        <v>175</v>
      </c>
      <c r="E14" s="107">
        <v>946.56</v>
      </c>
      <c r="F14" s="107">
        <v>723.84</v>
      </c>
      <c r="G14" s="107">
        <v>570.72</v>
      </c>
      <c r="H14" s="107">
        <v>464</v>
      </c>
      <c r="K14" s="559">
        <v>2</v>
      </c>
      <c r="L14" s="560">
        <v>0</v>
      </c>
      <c r="M14" s="560">
        <v>0</v>
      </c>
      <c r="N14" s="560">
        <v>0</v>
      </c>
      <c r="O14" s="561">
        <v>0</v>
      </c>
      <c r="P14" s="575">
        <f t="shared" si="1"/>
        <v>0</v>
      </c>
      <c r="Q14" s="575">
        <f t="shared" si="2"/>
        <v>0</v>
      </c>
      <c r="R14" s="575">
        <f t="shared" si="3"/>
        <v>0</v>
      </c>
      <c r="S14" s="576">
        <f t="shared" si="4"/>
        <v>0</v>
      </c>
      <c r="U14" s="597">
        <f t="shared" ref="U14:U41" si="7">L14/(1+$V$9)^$K14</f>
        <v>0</v>
      </c>
      <c r="V14" s="598">
        <f t="shared" si="6"/>
        <v>0</v>
      </c>
      <c r="W14" s="598">
        <f t="shared" si="6"/>
        <v>0</v>
      </c>
      <c r="X14" s="599">
        <f t="shared" si="6"/>
        <v>0</v>
      </c>
    </row>
    <row r="15" spans="2:24">
      <c r="C15" s="104">
        <v>15</v>
      </c>
      <c r="D15" s="104" t="s">
        <v>175</v>
      </c>
      <c r="E15" s="107">
        <v>1064.8800000000001</v>
      </c>
      <c r="F15" s="107">
        <v>814.32</v>
      </c>
      <c r="G15" s="107">
        <v>642.05999999999995</v>
      </c>
      <c r="H15" s="107">
        <v>522</v>
      </c>
      <c r="K15" s="559">
        <v>3</v>
      </c>
      <c r="L15" s="560">
        <v>0</v>
      </c>
      <c r="M15" s="560">
        <v>0</v>
      </c>
      <c r="N15" s="560">
        <v>0</v>
      </c>
      <c r="O15" s="561">
        <v>0</v>
      </c>
      <c r="P15" s="575">
        <f t="shared" si="1"/>
        <v>0</v>
      </c>
      <c r="Q15" s="575">
        <f t="shared" si="2"/>
        <v>0</v>
      </c>
      <c r="R15" s="575">
        <f t="shared" si="3"/>
        <v>0</v>
      </c>
      <c r="S15" s="576">
        <f t="shared" si="4"/>
        <v>0</v>
      </c>
      <c r="U15" s="597">
        <f t="shared" si="7"/>
        <v>0</v>
      </c>
      <c r="V15" s="598">
        <f t="shared" si="6"/>
        <v>0</v>
      </c>
      <c r="W15" s="598">
        <f t="shared" si="6"/>
        <v>0</v>
      </c>
      <c r="X15" s="599">
        <f t="shared" si="6"/>
        <v>0</v>
      </c>
    </row>
    <row r="16" spans="2:24">
      <c r="C16" s="104">
        <v>30</v>
      </c>
      <c r="D16" s="104" t="s">
        <v>181</v>
      </c>
      <c r="E16" s="107">
        <v>10852.8</v>
      </c>
      <c r="F16" s="107">
        <v>11138.4</v>
      </c>
      <c r="G16" s="107">
        <v>11623.5</v>
      </c>
      <c r="H16" s="107">
        <v>11025.000000000002</v>
      </c>
      <c r="K16" s="559">
        <v>4</v>
      </c>
      <c r="L16" s="560">
        <v>0</v>
      </c>
      <c r="M16" s="560">
        <v>0</v>
      </c>
      <c r="N16" s="560">
        <v>0</v>
      </c>
      <c r="O16" s="561">
        <v>0</v>
      </c>
      <c r="P16" s="575">
        <f t="shared" si="1"/>
        <v>0</v>
      </c>
      <c r="Q16" s="575">
        <f t="shared" si="2"/>
        <v>0</v>
      </c>
      <c r="R16" s="575">
        <f t="shared" si="3"/>
        <v>0</v>
      </c>
      <c r="S16" s="576">
        <f t="shared" si="4"/>
        <v>0</v>
      </c>
      <c r="U16" s="597">
        <f t="shared" si="7"/>
        <v>0</v>
      </c>
      <c r="V16" s="598">
        <f t="shared" si="6"/>
        <v>0</v>
      </c>
      <c r="W16" s="598">
        <f t="shared" si="6"/>
        <v>0</v>
      </c>
      <c r="X16" s="599">
        <f t="shared" si="6"/>
        <v>0</v>
      </c>
    </row>
    <row r="17" spans="2:24">
      <c r="C17" s="108" t="s">
        <v>187</v>
      </c>
      <c r="D17" s="104" t="s">
        <v>188</v>
      </c>
      <c r="E17" s="107">
        <f>E16/E9</f>
        <v>53.199999999999996</v>
      </c>
      <c r="F17" s="107">
        <f t="shared" ref="F17:H17" si="8">F16/F9</f>
        <v>71.399999999999991</v>
      </c>
      <c r="G17" s="107">
        <f t="shared" si="8"/>
        <v>94.5</v>
      </c>
      <c r="H17" s="107">
        <f t="shared" si="8"/>
        <v>110.25000000000001</v>
      </c>
      <c r="K17" s="559">
        <v>5</v>
      </c>
      <c r="L17" s="560">
        <f>-E13</f>
        <v>-591.6</v>
      </c>
      <c r="M17" s="560">
        <f t="shared" ref="M17:O17" si="9">-F13</f>
        <v>-452.4</v>
      </c>
      <c r="N17" s="560">
        <f t="shared" si="9"/>
        <v>-356.7</v>
      </c>
      <c r="O17" s="561">
        <f t="shared" si="9"/>
        <v>-290</v>
      </c>
      <c r="P17" s="575">
        <f t="shared" si="1"/>
        <v>-536.32208877084292</v>
      </c>
      <c r="Q17" s="575">
        <f t="shared" si="2"/>
        <v>-410.1286561188798</v>
      </c>
      <c r="R17" s="575">
        <f t="shared" si="3"/>
        <v>-323.37067117065527</v>
      </c>
      <c r="S17" s="576">
        <f t="shared" si="4"/>
        <v>-262.90298469158967</v>
      </c>
      <c r="U17" s="597">
        <f t="shared" si="7"/>
        <v>-535.83034709537822</v>
      </c>
      <c r="V17" s="598">
        <f t="shared" si="6"/>
        <v>-409.75261836705391</v>
      </c>
      <c r="W17" s="598">
        <f t="shared" si="6"/>
        <v>-323.07417986633101</v>
      </c>
      <c r="X17" s="599">
        <f t="shared" si="6"/>
        <v>-262.66193485067561</v>
      </c>
    </row>
    <row r="18" spans="2:24">
      <c r="D18" s="104" t="s">
        <v>189</v>
      </c>
      <c r="E18" s="104">
        <v>1.4</v>
      </c>
      <c r="F18" s="104">
        <v>1.7</v>
      </c>
      <c r="G18" s="104">
        <v>2.1</v>
      </c>
      <c r="H18" s="104">
        <v>2.4500000000000002</v>
      </c>
      <c r="K18" s="559">
        <v>6</v>
      </c>
      <c r="L18" s="560">
        <v>0</v>
      </c>
      <c r="M18" s="560">
        <v>0</v>
      </c>
      <c r="N18" s="560">
        <v>0</v>
      </c>
      <c r="O18" s="561">
        <v>0</v>
      </c>
      <c r="P18" s="575">
        <f t="shared" si="1"/>
        <v>0</v>
      </c>
      <c r="Q18" s="575">
        <f t="shared" si="2"/>
        <v>0</v>
      </c>
      <c r="R18" s="575">
        <f t="shared" si="3"/>
        <v>0</v>
      </c>
      <c r="S18" s="576">
        <f t="shared" si="4"/>
        <v>0</v>
      </c>
      <c r="U18" s="597">
        <f t="shared" si="7"/>
        <v>0</v>
      </c>
      <c r="V18" s="598">
        <f t="shared" si="6"/>
        <v>0</v>
      </c>
      <c r="W18" s="598">
        <f t="shared" si="6"/>
        <v>0</v>
      </c>
      <c r="X18" s="599">
        <f t="shared" si="6"/>
        <v>0</v>
      </c>
    </row>
    <row r="19" spans="2:24">
      <c r="C19" s="104"/>
      <c r="D19" s="104"/>
      <c r="E19" s="104"/>
      <c r="F19" s="104"/>
      <c r="G19" s="104"/>
      <c r="H19" s="104"/>
      <c r="K19" s="559">
        <v>7</v>
      </c>
      <c r="L19" s="560">
        <v>0</v>
      </c>
      <c r="M19" s="560">
        <v>0</v>
      </c>
      <c r="N19" s="560">
        <v>0</v>
      </c>
      <c r="O19" s="561">
        <v>0</v>
      </c>
      <c r="P19" s="575">
        <f t="shared" si="1"/>
        <v>0</v>
      </c>
      <c r="Q19" s="575">
        <f t="shared" si="2"/>
        <v>0</v>
      </c>
      <c r="R19" s="575">
        <f t="shared" si="3"/>
        <v>0</v>
      </c>
      <c r="S19" s="576">
        <f t="shared" si="4"/>
        <v>0</v>
      </c>
      <c r="U19" s="597">
        <f t="shared" si="7"/>
        <v>0</v>
      </c>
      <c r="V19" s="598">
        <f t="shared" si="6"/>
        <v>0</v>
      </c>
      <c r="W19" s="598">
        <f t="shared" si="6"/>
        <v>0</v>
      </c>
      <c r="X19" s="599">
        <f t="shared" si="6"/>
        <v>0</v>
      </c>
    </row>
    <row r="20" spans="2:24">
      <c r="B20" s="109" t="s">
        <v>179</v>
      </c>
      <c r="K20" s="559">
        <v>8</v>
      </c>
      <c r="L20" s="560">
        <v>0</v>
      </c>
      <c r="M20" s="560">
        <v>0</v>
      </c>
      <c r="N20" s="560">
        <v>0</v>
      </c>
      <c r="O20" s="561">
        <v>0</v>
      </c>
      <c r="P20" s="575">
        <f t="shared" si="1"/>
        <v>0</v>
      </c>
      <c r="Q20" s="575">
        <f t="shared" si="2"/>
        <v>0</v>
      </c>
      <c r="R20" s="575">
        <f t="shared" si="3"/>
        <v>0</v>
      </c>
      <c r="S20" s="576">
        <f t="shared" si="4"/>
        <v>0</v>
      </c>
      <c r="U20" s="597">
        <f t="shared" si="7"/>
        <v>0</v>
      </c>
      <c r="V20" s="598">
        <f t="shared" si="6"/>
        <v>0</v>
      </c>
      <c r="W20" s="598">
        <f t="shared" si="6"/>
        <v>0</v>
      </c>
      <c r="X20" s="599">
        <f t="shared" si="6"/>
        <v>0</v>
      </c>
    </row>
    <row r="21" spans="2:24">
      <c r="K21" s="559">
        <v>9</v>
      </c>
      <c r="L21" s="560">
        <v>0</v>
      </c>
      <c r="M21" s="560">
        <v>0</v>
      </c>
      <c r="N21" s="560">
        <v>0</v>
      </c>
      <c r="O21" s="561">
        <v>0</v>
      </c>
      <c r="P21" s="575">
        <f t="shared" si="1"/>
        <v>0</v>
      </c>
      <c r="Q21" s="575">
        <f t="shared" si="2"/>
        <v>0</v>
      </c>
      <c r="R21" s="575">
        <f t="shared" si="3"/>
        <v>0</v>
      </c>
      <c r="S21" s="576">
        <f t="shared" si="4"/>
        <v>0</v>
      </c>
      <c r="U21" s="597">
        <f t="shared" si="7"/>
        <v>0</v>
      </c>
      <c r="V21" s="598">
        <f t="shared" si="6"/>
        <v>0</v>
      </c>
      <c r="W21" s="598">
        <f t="shared" si="6"/>
        <v>0</v>
      </c>
      <c r="X21" s="599">
        <f t="shared" si="6"/>
        <v>0</v>
      </c>
    </row>
    <row r="22" spans="2:24">
      <c r="B22" s="105" t="s">
        <v>172</v>
      </c>
      <c r="K22" s="559">
        <v>10</v>
      </c>
      <c r="L22" s="560">
        <f>-E14</f>
        <v>-946.56</v>
      </c>
      <c r="M22" s="560">
        <f t="shared" ref="M22:O22" si="10">-F14</f>
        <v>-723.84</v>
      </c>
      <c r="N22" s="560">
        <f t="shared" si="10"/>
        <v>-570.72</v>
      </c>
      <c r="O22" s="561">
        <f t="shared" si="10"/>
        <v>-464</v>
      </c>
      <c r="P22" s="575">
        <f t="shared" si="1"/>
        <v>-777.93477458693678</v>
      </c>
      <c r="Q22" s="575">
        <f t="shared" si="2"/>
        <v>-594.89129821353993</v>
      </c>
      <c r="R22" s="575">
        <f t="shared" si="3"/>
        <v>-469.04890820682954</v>
      </c>
      <c r="S22" s="576">
        <f t="shared" si="4"/>
        <v>-381.3405757779102</v>
      </c>
      <c r="U22" s="597">
        <f t="shared" si="7"/>
        <v>-776.50888672982694</v>
      </c>
      <c r="V22" s="598">
        <f t="shared" si="6"/>
        <v>-593.80091338163243</v>
      </c>
      <c r="W22" s="598">
        <f t="shared" si="6"/>
        <v>-468.18918170474865</v>
      </c>
      <c r="X22" s="599">
        <f t="shared" si="6"/>
        <v>-380.64161114207207</v>
      </c>
    </row>
    <row r="23" spans="2:24">
      <c r="K23" s="559">
        <v>11</v>
      </c>
      <c r="L23" s="560">
        <v>0</v>
      </c>
      <c r="M23" s="560">
        <v>0</v>
      </c>
      <c r="N23" s="560">
        <v>0</v>
      </c>
      <c r="O23" s="561">
        <v>0</v>
      </c>
      <c r="P23" s="575">
        <f t="shared" si="1"/>
        <v>0</v>
      </c>
      <c r="Q23" s="575">
        <f t="shared" si="2"/>
        <v>0</v>
      </c>
      <c r="R23" s="575">
        <f t="shared" si="3"/>
        <v>0</v>
      </c>
      <c r="S23" s="576">
        <f t="shared" si="4"/>
        <v>0</v>
      </c>
      <c r="U23" s="597">
        <f t="shared" si="7"/>
        <v>0</v>
      </c>
      <c r="V23" s="598">
        <f t="shared" si="6"/>
        <v>0</v>
      </c>
      <c r="W23" s="598">
        <f t="shared" si="6"/>
        <v>0</v>
      </c>
      <c r="X23" s="599">
        <f t="shared" si="6"/>
        <v>0</v>
      </c>
    </row>
    <row r="24" spans="2:24">
      <c r="K24" s="559">
        <v>12</v>
      </c>
      <c r="L24" s="560">
        <v>0</v>
      </c>
      <c r="M24" s="560">
        <v>0</v>
      </c>
      <c r="N24" s="560">
        <v>0</v>
      </c>
      <c r="O24" s="561">
        <v>0</v>
      </c>
      <c r="P24" s="575">
        <f t="shared" si="1"/>
        <v>0</v>
      </c>
      <c r="Q24" s="575">
        <f t="shared" si="2"/>
        <v>0</v>
      </c>
      <c r="R24" s="575">
        <f t="shared" si="3"/>
        <v>0</v>
      </c>
      <c r="S24" s="576">
        <f t="shared" si="4"/>
        <v>0</v>
      </c>
      <c r="U24" s="597">
        <f t="shared" si="7"/>
        <v>0</v>
      </c>
      <c r="V24" s="598">
        <f t="shared" si="6"/>
        <v>0</v>
      </c>
      <c r="W24" s="598">
        <f t="shared" si="6"/>
        <v>0</v>
      </c>
      <c r="X24" s="599">
        <f t="shared" si="6"/>
        <v>0</v>
      </c>
    </row>
    <row r="25" spans="2:24">
      <c r="K25" s="559">
        <v>13</v>
      </c>
      <c r="L25" s="560">
        <v>0</v>
      </c>
      <c r="M25" s="560">
        <v>0</v>
      </c>
      <c r="N25" s="560">
        <v>0</v>
      </c>
      <c r="O25" s="561">
        <v>0</v>
      </c>
      <c r="P25" s="575">
        <f t="shared" si="1"/>
        <v>0</v>
      </c>
      <c r="Q25" s="575">
        <f t="shared" si="2"/>
        <v>0</v>
      </c>
      <c r="R25" s="575">
        <f t="shared" si="3"/>
        <v>0</v>
      </c>
      <c r="S25" s="576">
        <f t="shared" si="4"/>
        <v>0</v>
      </c>
      <c r="U25" s="597">
        <f t="shared" si="7"/>
        <v>0</v>
      </c>
      <c r="V25" s="598">
        <f t="shared" si="6"/>
        <v>0</v>
      </c>
      <c r="W25" s="598">
        <f t="shared" si="6"/>
        <v>0</v>
      </c>
      <c r="X25" s="599">
        <f t="shared" si="6"/>
        <v>0</v>
      </c>
    </row>
    <row r="26" spans="2:24">
      <c r="K26" s="559">
        <v>14</v>
      </c>
      <c r="L26" s="560">
        <v>0</v>
      </c>
      <c r="M26" s="560">
        <v>0</v>
      </c>
      <c r="N26" s="560">
        <v>0</v>
      </c>
      <c r="O26" s="561">
        <v>0</v>
      </c>
      <c r="P26" s="575">
        <f t="shared" si="1"/>
        <v>0</v>
      </c>
      <c r="Q26" s="575">
        <f t="shared" si="2"/>
        <v>0</v>
      </c>
      <c r="R26" s="575">
        <f t="shared" si="3"/>
        <v>0</v>
      </c>
      <c r="S26" s="576">
        <f t="shared" si="4"/>
        <v>0</v>
      </c>
      <c r="U26" s="597">
        <f t="shared" si="7"/>
        <v>0</v>
      </c>
      <c r="V26" s="598">
        <f t="shared" si="6"/>
        <v>0</v>
      </c>
      <c r="W26" s="598">
        <f t="shared" si="6"/>
        <v>0</v>
      </c>
      <c r="X26" s="599">
        <f t="shared" si="6"/>
        <v>0</v>
      </c>
    </row>
    <row r="27" spans="2:24">
      <c r="K27" s="559">
        <v>15</v>
      </c>
      <c r="L27" s="560">
        <f>-E15</f>
        <v>-1064.8800000000001</v>
      </c>
      <c r="M27" s="560">
        <f t="shared" ref="M27:O27" si="11">-F15</f>
        <v>-814.32</v>
      </c>
      <c r="N27" s="560">
        <f t="shared" si="11"/>
        <v>-642.05999999999995</v>
      </c>
      <c r="O27" s="561">
        <f t="shared" si="11"/>
        <v>-522</v>
      </c>
      <c r="P27" s="575">
        <f t="shared" si="1"/>
        <v>-793.40188241748388</v>
      </c>
      <c r="Q27" s="575">
        <f t="shared" si="2"/>
        <v>-606.71908655454649</v>
      </c>
      <c r="R27" s="575">
        <f t="shared" si="3"/>
        <v>-478.37466439877693</v>
      </c>
      <c r="S27" s="576">
        <f t="shared" si="4"/>
        <v>-388.92249138111947</v>
      </c>
      <c r="U27" s="597">
        <f t="shared" si="7"/>
        <v>-791.22152567017451</v>
      </c>
      <c r="V27" s="598">
        <f t="shared" si="6"/>
        <v>-605.0517549242511</v>
      </c>
      <c r="W27" s="598">
        <f t="shared" si="6"/>
        <v>-477.06003753642864</v>
      </c>
      <c r="X27" s="599">
        <f t="shared" si="6"/>
        <v>-387.85368905400708</v>
      </c>
    </row>
    <row r="28" spans="2:24">
      <c r="K28" s="559">
        <v>16</v>
      </c>
      <c r="L28" s="560">
        <v>0</v>
      </c>
      <c r="M28" s="560">
        <v>0</v>
      </c>
      <c r="N28" s="560">
        <v>0</v>
      </c>
      <c r="O28" s="561">
        <v>0</v>
      </c>
      <c r="P28" s="575">
        <f t="shared" si="1"/>
        <v>0</v>
      </c>
      <c r="Q28" s="575">
        <f t="shared" si="2"/>
        <v>0</v>
      </c>
      <c r="R28" s="575">
        <f t="shared" si="3"/>
        <v>0</v>
      </c>
      <c r="S28" s="576">
        <f t="shared" si="4"/>
        <v>0</v>
      </c>
      <c r="U28" s="597">
        <f t="shared" si="7"/>
        <v>0</v>
      </c>
      <c r="V28" s="598">
        <f t="shared" si="6"/>
        <v>0</v>
      </c>
      <c r="W28" s="598">
        <f t="shared" si="6"/>
        <v>0</v>
      </c>
      <c r="X28" s="599">
        <f t="shared" si="6"/>
        <v>0</v>
      </c>
    </row>
    <row r="29" spans="2:24">
      <c r="K29" s="559">
        <v>17</v>
      </c>
      <c r="L29" s="560">
        <v>0</v>
      </c>
      <c r="M29" s="560">
        <v>0</v>
      </c>
      <c r="N29" s="560">
        <v>0</v>
      </c>
      <c r="O29" s="561">
        <v>0</v>
      </c>
      <c r="P29" s="575">
        <f t="shared" si="1"/>
        <v>0</v>
      </c>
      <c r="Q29" s="575">
        <f t="shared" si="2"/>
        <v>0</v>
      </c>
      <c r="R29" s="575">
        <f t="shared" si="3"/>
        <v>0</v>
      </c>
      <c r="S29" s="576">
        <f t="shared" si="4"/>
        <v>0</v>
      </c>
      <c r="U29" s="597">
        <f t="shared" si="7"/>
        <v>0</v>
      </c>
      <c r="V29" s="598">
        <f t="shared" ref="V29:V41" si="12">M29/(1+$V$9)^$K29</f>
        <v>0</v>
      </c>
      <c r="W29" s="598">
        <f t="shared" ref="W29:W41" si="13">N29/(1+$V$9)^$K29</f>
        <v>0</v>
      </c>
      <c r="X29" s="599">
        <f t="shared" ref="X29:X41" si="14">O29/(1+$V$9)^$K29</f>
        <v>0</v>
      </c>
    </row>
    <row r="30" spans="2:24">
      <c r="K30" s="559">
        <v>18</v>
      </c>
      <c r="L30" s="560">
        <v>0</v>
      </c>
      <c r="M30" s="560">
        <v>0</v>
      </c>
      <c r="N30" s="560">
        <v>0</v>
      </c>
      <c r="O30" s="561">
        <v>0</v>
      </c>
      <c r="P30" s="575">
        <f t="shared" si="1"/>
        <v>0</v>
      </c>
      <c r="Q30" s="575">
        <f t="shared" si="2"/>
        <v>0</v>
      </c>
      <c r="R30" s="575">
        <f t="shared" si="3"/>
        <v>0</v>
      </c>
      <c r="S30" s="576">
        <f t="shared" si="4"/>
        <v>0</v>
      </c>
      <c r="U30" s="597">
        <f t="shared" si="7"/>
        <v>0</v>
      </c>
      <c r="V30" s="598">
        <f t="shared" si="12"/>
        <v>0</v>
      </c>
      <c r="W30" s="598">
        <f t="shared" si="13"/>
        <v>0</v>
      </c>
      <c r="X30" s="599">
        <f t="shared" si="14"/>
        <v>0</v>
      </c>
    </row>
    <row r="31" spans="2:24">
      <c r="K31" s="559">
        <v>19</v>
      </c>
      <c r="L31" s="560">
        <v>0</v>
      </c>
      <c r="M31" s="560">
        <v>0</v>
      </c>
      <c r="N31" s="560">
        <v>0</v>
      </c>
      <c r="O31" s="561">
        <v>0</v>
      </c>
      <c r="P31" s="575">
        <f t="shared" si="1"/>
        <v>0</v>
      </c>
      <c r="Q31" s="575">
        <f t="shared" si="2"/>
        <v>0</v>
      </c>
      <c r="R31" s="575">
        <f t="shared" si="3"/>
        <v>0</v>
      </c>
      <c r="S31" s="576">
        <f t="shared" si="4"/>
        <v>0</v>
      </c>
      <c r="U31" s="597">
        <f t="shared" si="7"/>
        <v>0</v>
      </c>
      <c r="V31" s="598">
        <f t="shared" si="12"/>
        <v>0</v>
      </c>
      <c r="W31" s="598">
        <f t="shared" si="13"/>
        <v>0</v>
      </c>
      <c r="X31" s="599">
        <f t="shared" si="14"/>
        <v>0</v>
      </c>
    </row>
    <row r="32" spans="2:24">
      <c r="K32" s="559">
        <v>20</v>
      </c>
      <c r="L32" s="560">
        <v>0</v>
      </c>
      <c r="M32" s="560">
        <v>0</v>
      </c>
      <c r="N32" s="560">
        <v>0</v>
      </c>
      <c r="O32" s="561">
        <v>0</v>
      </c>
      <c r="P32" s="575">
        <f t="shared" si="1"/>
        <v>0</v>
      </c>
      <c r="Q32" s="575">
        <f t="shared" si="2"/>
        <v>0</v>
      </c>
      <c r="R32" s="575">
        <f t="shared" si="3"/>
        <v>0</v>
      </c>
      <c r="S32" s="576">
        <f t="shared" si="4"/>
        <v>0</v>
      </c>
      <c r="U32" s="597">
        <f t="shared" si="7"/>
        <v>0</v>
      </c>
      <c r="V32" s="598">
        <f t="shared" si="12"/>
        <v>0</v>
      </c>
      <c r="W32" s="598">
        <f t="shared" si="13"/>
        <v>0</v>
      </c>
      <c r="X32" s="599">
        <f t="shared" si="14"/>
        <v>0</v>
      </c>
    </row>
    <row r="33" spans="11:25">
      <c r="K33" s="559">
        <v>21</v>
      </c>
      <c r="L33" s="560">
        <v>0</v>
      </c>
      <c r="M33" s="560">
        <v>0</v>
      </c>
      <c r="N33" s="560">
        <v>0</v>
      </c>
      <c r="O33" s="561">
        <v>0</v>
      </c>
      <c r="P33" s="575">
        <f t="shared" si="1"/>
        <v>0</v>
      </c>
      <c r="Q33" s="575">
        <f t="shared" si="2"/>
        <v>0</v>
      </c>
      <c r="R33" s="575">
        <f t="shared" si="3"/>
        <v>0</v>
      </c>
      <c r="S33" s="576">
        <f t="shared" si="4"/>
        <v>0</v>
      </c>
      <c r="U33" s="597">
        <f t="shared" si="7"/>
        <v>0</v>
      </c>
      <c r="V33" s="598">
        <f t="shared" si="12"/>
        <v>0</v>
      </c>
      <c r="W33" s="598">
        <f t="shared" si="13"/>
        <v>0</v>
      </c>
      <c r="X33" s="599">
        <f t="shared" si="14"/>
        <v>0</v>
      </c>
    </row>
    <row r="34" spans="11:25">
      <c r="K34" s="559">
        <v>22</v>
      </c>
      <c r="L34" s="560">
        <v>0</v>
      </c>
      <c r="M34" s="560">
        <v>0</v>
      </c>
      <c r="N34" s="560">
        <v>0</v>
      </c>
      <c r="O34" s="561">
        <v>0</v>
      </c>
      <c r="P34" s="575">
        <f t="shared" si="1"/>
        <v>0</v>
      </c>
      <c r="Q34" s="575">
        <f t="shared" si="2"/>
        <v>0</v>
      </c>
      <c r="R34" s="575">
        <f t="shared" si="3"/>
        <v>0</v>
      </c>
      <c r="S34" s="576">
        <f t="shared" si="4"/>
        <v>0</v>
      </c>
      <c r="U34" s="597">
        <f t="shared" si="7"/>
        <v>0</v>
      </c>
      <c r="V34" s="598">
        <f t="shared" si="12"/>
        <v>0</v>
      </c>
      <c r="W34" s="598">
        <f t="shared" si="13"/>
        <v>0</v>
      </c>
      <c r="X34" s="599">
        <f t="shared" si="14"/>
        <v>0</v>
      </c>
    </row>
    <row r="35" spans="11:25">
      <c r="K35" s="559">
        <v>23</v>
      </c>
      <c r="L35" s="560">
        <v>0</v>
      </c>
      <c r="M35" s="560">
        <v>0</v>
      </c>
      <c r="N35" s="560">
        <v>0</v>
      </c>
      <c r="O35" s="561">
        <v>0</v>
      </c>
      <c r="P35" s="575">
        <f t="shared" si="1"/>
        <v>0</v>
      </c>
      <c r="Q35" s="575">
        <f t="shared" si="2"/>
        <v>0</v>
      </c>
      <c r="R35" s="575">
        <f t="shared" si="3"/>
        <v>0</v>
      </c>
      <c r="S35" s="576">
        <f t="shared" si="4"/>
        <v>0</v>
      </c>
      <c r="U35" s="597">
        <f t="shared" si="7"/>
        <v>0</v>
      </c>
      <c r="V35" s="598">
        <f t="shared" si="12"/>
        <v>0</v>
      </c>
      <c r="W35" s="598">
        <f t="shared" si="13"/>
        <v>0</v>
      </c>
      <c r="X35" s="599">
        <f t="shared" si="14"/>
        <v>0</v>
      </c>
    </row>
    <row r="36" spans="11:25">
      <c r="K36" s="559">
        <v>24</v>
      </c>
      <c r="L36" s="560">
        <v>0</v>
      </c>
      <c r="M36" s="560">
        <v>0</v>
      </c>
      <c r="N36" s="560">
        <v>0</v>
      </c>
      <c r="O36" s="561">
        <v>0</v>
      </c>
      <c r="P36" s="575">
        <f t="shared" si="1"/>
        <v>0</v>
      </c>
      <c r="Q36" s="575">
        <f t="shared" si="2"/>
        <v>0</v>
      </c>
      <c r="R36" s="575">
        <f t="shared" si="3"/>
        <v>0</v>
      </c>
      <c r="S36" s="576">
        <f t="shared" si="4"/>
        <v>0</v>
      </c>
      <c r="U36" s="597">
        <f t="shared" si="7"/>
        <v>0</v>
      </c>
      <c r="V36" s="598">
        <f t="shared" si="12"/>
        <v>0</v>
      </c>
      <c r="W36" s="598">
        <f t="shared" si="13"/>
        <v>0</v>
      </c>
      <c r="X36" s="599">
        <f t="shared" si="14"/>
        <v>0</v>
      </c>
    </row>
    <row r="37" spans="11:25">
      <c r="K37" s="559">
        <v>25</v>
      </c>
      <c r="L37" s="560">
        <v>0</v>
      </c>
      <c r="M37" s="560">
        <v>0</v>
      </c>
      <c r="N37" s="560">
        <v>0</v>
      </c>
      <c r="O37" s="561">
        <v>0</v>
      </c>
      <c r="P37" s="575">
        <f t="shared" si="1"/>
        <v>0</v>
      </c>
      <c r="Q37" s="575">
        <f t="shared" si="2"/>
        <v>0</v>
      </c>
      <c r="R37" s="575">
        <f t="shared" si="3"/>
        <v>0</v>
      </c>
      <c r="S37" s="576">
        <f t="shared" si="4"/>
        <v>0</v>
      </c>
      <c r="U37" s="597">
        <f t="shared" si="7"/>
        <v>0</v>
      </c>
      <c r="V37" s="598">
        <f t="shared" si="12"/>
        <v>0</v>
      </c>
      <c r="W37" s="598">
        <f t="shared" si="13"/>
        <v>0</v>
      </c>
      <c r="X37" s="599">
        <f t="shared" si="14"/>
        <v>0</v>
      </c>
    </row>
    <row r="38" spans="11:25">
      <c r="K38" s="559">
        <v>26</v>
      </c>
      <c r="L38" s="560">
        <v>0</v>
      </c>
      <c r="M38" s="560">
        <v>0</v>
      </c>
      <c r="N38" s="560">
        <v>0</v>
      </c>
      <c r="O38" s="561">
        <v>0</v>
      </c>
      <c r="P38" s="575">
        <f t="shared" si="1"/>
        <v>0</v>
      </c>
      <c r="Q38" s="575">
        <f t="shared" si="2"/>
        <v>0</v>
      </c>
      <c r="R38" s="575">
        <f t="shared" si="3"/>
        <v>0</v>
      </c>
      <c r="S38" s="576">
        <f t="shared" si="4"/>
        <v>0</v>
      </c>
      <c r="U38" s="597">
        <f t="shared" si="7"/>
        <v>0</v>
      </c>
      <c r="V38" s="598">
        <f t="shared" si="12"/>
        <v>0</v>
      </c>
      <c r="W38" s="598">
        <f t="shared" si="13"/>
        <v>0</v>
      </c>
      <c r="X38" s="599">
        <f t="shared" si="14"/>
        <v>0</v>
      </c>
    </row>
    <row r="39" spans="11:25">
      <c r="K39" s="559">
        <v>27</v>
      </c>
      <c r="L39" s="560">
        <v>0</v>
      </c>
      <c r="M39" s="560">
        <v>0</v>
      </c>
      <c r="N39" s="560">
        <v>0</v>
      </c>
      <c r="O39" s="561">
        <v>0</v>
      </c>
      <c r="P39" s="575">
        <f t="shared" si="1"/>
        <v>0</v>
      </c>
      <c r="Q39" s="575">
        <f t="shared" si="2"/>
        <v>0</v>
      </c>
      <c r="R39" s="575">
        <f t="shared" si="3"/>
        <v>0</v>
      </c>
      <c r="S39" s="576">
        <f t="shared" si="4"/>
        <v>0</v>
      </c>
      <c r="U39" s="597">
        <f t="shared" si="7"/>
        <v>0</v>
      </c>
      <c r="V39" s="598">
        <f t="shared" si="12"/>
        <v>0</v>
      </c>
      <c r="W39" s="598">
        <f t="shared" si="13"/>
        <v>0</v>
      </c>
      <c r="X39" s="599">
        <f t="shared" si="14"/>
        <v>0</v>
      </c>
    </row>
    <row r="40" spans="11:25">
      <c r="K40" s="559">
        <v>28</v>
      </c>
      <c r="L40" s="560">
        <v>0</v>
      </c>
      <c r="M40" s="560">
        <v>0</v>
      </c>
      <c r="N40" s="560">
        <v>0</v>
      </c>
      <c r="O40" s="561">
        <v>0</v>
      </c>
      <c r="P40" s="575">
        <f t="shared" si="1"/>
        <v>0</v>
      </c>
      <c r="Q40" s="575">
        <f t="shared" si="2"/>
        <v>0</v>
      </c>
      <c r="R40" s="575">
        <f t="shared" si="3"/>
        <v>0</v>
      </c>
      <c r="S40" s="576">
        <f t="shared" si="4"/>
        <v>0</v>
      </c>
      <c r="U40" s="597">
        <f t="shared" si="7"/>
        <v>0</v>
      </c>
      <c r="V40" s="598">
        <f t="shared" si="12"/>
        <v>0</v>
      </c>
      <c r="W40" s="598">
        <f t="shared" si="13"/>
        <v>0</v>
      </c>
      <c r="X40" s="599">
        <f t="shared" si="14"/>
        <v>0</v>
      </c>
    </row>
    <row r="41" spans="11:25">
      <c r="K41" s="559">
        <v>29</v>
      </c>
      <c r="L41" s="560">
        <v>0</v>
      </c>
      <c r="M41" s="560">
        <v>0</v>
      </c>
      <c r="N41" s="560">
        <v>0</v>
      </c>
      <c r="O41" s="561">
        <v>0</v>
      </c>
      <c r="P41" s="575">
        <f t="shared" si="1"/>
        <v>0</v>
      </c>
      <c r="Q41" s="575">
        <f t="shared" si="2"/>
        <v>0</v>
      </c>
      <c r="R41" s="575">
        <f t="shared" si="3"/>
        <v>0</v>
      </c>
      <c r="S41" s="576">
        <f t="shared" si="4"/>
        <v>0</v>
      </c>
      <c r="U41" s="597">
        <f t="shared" si="7"/>
        <v>0</v>
      </c>
      <c r="V41" s="598">
        <f t="shared" si="12"/>
        <v>0</v>
      </c>
      <c r="W41" s="598">
        <f t="shared" si="13"/>
        <v>0</v>
      </c>
      <c r="X41" s="599">
        <f t="shared" si="14"/>
        <v>0</v>
      </c>
    </row>
    <row r="42" spans="11:25" ht="13.5" thickBot="1">
      <c r="K42" s="562">
        <v>30</v>
      </c>
      <c r="L42" s="563">
        <f>E16+7500</f>
        <v>18352.8</v>
      </c>
      <c r="M42" s="563">
        <f t="shared" ref="M42:O42" si="15">F16+7500</f>
        <v>18638.400000000001</v>
      </c>
      <c r="N42" s="563">
        <f t="shared" si="15"/>
        <v>19123.5</v>
      </c>
      <c r="O42" s="564">
        <f t="shared" si="15"/>
        <v>18525</v>
      </c>
      <c r="P42" s="577">
        <f t="shared" si="1"/>
        <v>10187.964995799844</v>
      </c>
      <c r="Q42" s="577">
        <f t="shared" si="2"/>
        <v>10346.506624477783</v>
      </c>
      <c r="R42" s="577">
        <f t="shared" si="3"/>
        <v>10615.794243776336</v>
      </c>
      <c r="S42" s="578">
        <f t="shared" si="4"/>
        <v>10283.556271914484</v>
      </c>
      <c r="U42" s="600">
        <f>E16/(1+$V$9)^$K$42</f>
        <v>5991.5149439211891</v>
      </c>
      <c r="V42" s="601">
        <f t="shared" ref="V42:X42" si="16">F16/(1+$V$9)^$K$42</f>
        <v>6149.1863898138517</v>
      </c>
      <c r="W42" s="601">
        <f t="shared" si="16"/>
        <v>6416.9959780580075</v>
      </c>
      <c r="X42" s="602">
        <f t="shared" si="16"/>
        <v>6086.5815510035309</v>
      </c>
    </row>
    <row r="43" spans="11:25">
      <c r="K43" s="565"/>
      <c r="L43" s="551"/>
      <c r="M43" s="551"/>
      <c r="N43" s="551"/>
      <c r="O43" s="566"/>
      <c r="P43" s="579">
        <f>SUM(P12:P42)</f>
        <v>-2479.6937499754185</v>
      </c>
      <c r="Q43" s="580">
        <f t="shared" ref="Q43:S43" si="17">SUM(Q12:Q42)</f>
        <v>-1105.2324164091842</v>
      </c>
      <c r="R43" s="580">
        <f t="shared" si="17"/>
        <v>7.6397554948925972E-11</v>
      </c>
      <c r="S43" s="581">
        <f t="shared" si="17"/>
        <v>250.39022006386404</v>
      </c>
      <c r="T43" s="538" t="s">
        <v>276</v>
      </c>
      <c r="U43" s="603">
        <f>SUM(U12:U42)</f>
        <v>827.95418442580922</v>
      </c>
      <c r="V43" s="604">
        <f t="shared" ref="V43:X43" si="18">SUM(V12:V42)</f>
        <v>2200.5811031409139</v>
      </c>
      <c r="W43" s="604">
        <f t="shared" si="18"/>
        <v>3303.672578950499</v>
      </c>
      <c r="X43" s="605">
        <f t="shared" si="18"/>
        <v>3555.4243159567759</v>
      </c>
    </row>
    <row r="44" spans="11:25" ht="13.5" thickBot="1">
      <c r="K44" s="536" t="s">
        <v>327</v>
      </c>
      <c r="L44" s="537">
        <f>IRR(L12:L42,0.02)</f>
        <v>1.1954811732697523E-2</v>
      </c>
      <c r="M44" s="537">
        <f t="shared" ref="M44:O44" si="19">IRR(M12:M42,0.02)</f>
        <v>1.6184884958249546E-2</v>
      </c>
      <c r="N44" s="537">
        <f t="shared" si="19"/>
        <v>1.9812888346597779E-2</v>
      </c>
      <c r="O44" s="537">
        <f t="shared" si="19"/>
        <v>2.0682719766160096E-2</v>
      </c>
      <c r="P44" s="582"/>
      <c r="Q44" s="583"/>
      <c r="R44" s="583"/>
      <c r="S44" s="584"/>
      <c r="T44" s="538" t="s">
        <v>278</v>
      </c>
      <c r="U44" s="606">
        <f>U43*(1+$V$9)^30/((1+$V$9)^30-1)</f>
        <v>1848.4044998555105</v>
      </c>
      <c r="V44" s="607">
        <f>V43*(1+$V$9)^30/((1+$V$9)^30-1)</f>
        <v>4912.7887627786395</v>
      </c>
      <c r="W44" s="607">
        <f>W43*(1+$V$9)^30/((1+$V$9)^30-1)</f>
        <v>7375.4361966492988</v>
      </c>
      <c r="X44" s="608">
        <f>X43*(1+$V$9)^30/((1+$V$9)^30-1)</f>
        <v>7937.4709713772727</v>
      </c>
      <c r="Y44" s="179">
        <f>V9</f>
        <v>0.02</v>
      </c>
    </row>
    <row r="46" spans="11:25" ht="13.5" thickBot="1">
      <c r="K46" s="613" t="s">
        <v>498</v>
      </c>
      <c r="L46" s="613"/>
      <c r="M46" s="613"/>
      <c r="N46" s="613"/>
      <c r="O46" s="613"/>
    </row>
    <row r="47" spans="11:25" ht="13.5" thickBot="1">
      <c r="U47" s="591" t="s">
        <v>323</v>
      </c>
      <c r="V47" s="592" t="s">
        <v>324</v>
      </c>
      <c r="W47" s="592" t="s">
        <v>325</v>
      </c>
      <c r="X47" s="592" t="s">
        <v>326</v>
      </c>
      <c r="Y47" s="593" t="s">
        <v>328</v>
      </c>
    </row>
    <row r="48" spans="11:25">
      <c r="U48" s="597">
        <v>10287.281885001297</v>
      </c>
      <c r="V48" s="598">
        <v>16028.909275126654</v>
      </c>
      <c r="W48" s="598">
        <v>20806.379874945418</v>
      </c>
      <c r="X48" s="598">
        <v>21443.583827386508</v>
      </c>
      <c r="Y48" s="590">
        <v>0.01</v>
      </c>
    </row>
    <row r="49" spans="21:25">
      <c r="U49" s="597">
        <v>1848.4044998555105</v>
      </c>
      <c r="V49" s="598">
        <v>4912.7887627786395</v>
      </c>
      <c r="W49" s="598">
        <v>7375.4361966492988</v>
      </c>
      <c r="X49" s="598">
        <v>7937.4709713772727</v>
      </c>
      <c r="Y49" s="590">
        <v>0.02</v>
      </c>
    </row>
    <row r="50" spans="21:25">
      <c r="U50" s="597">
        <v>-828.11900527105831</v>
      </c>
      <c r="V50" s="598">
        <v>1355.9952274496625</v>
      </c>
      <c r="W50" s="598">
        <v>3059.8841334025901</v>
      </c>
      <c r="X50" s="598">
        <v>3591.2217918763431</v>
      </c>
      <c r="Y50" s="590">
        <v>0.03</v>
      </c>
    </row>
    <row r="51" spans="21:25">
      <c r="U51" s="597">
        <v>-2068.7031059195492</v>
      </c>
      <c r="V51" s="598">
        <v>-316.36899743119994</v>
      </c>
      <c r="W51" s="598">
        <v>1017.0717302756581</v>
      </c>
      <c r="X51" s="598">
        <v>1528.9477389778801</v>
      </c>
      <c r="Y51" s="590">
        <v>0.04</v>
      </c>
    </row>
    <row r="52" spans="21:25">
      <c r="U52" s="597">
        <v>-2739.6699697590075</v>
      </c>
      <c r="V52" s="598">
        <v>-1240.3610519819927</v>
      </c>
      <c r="W52" s="598">
        <v>-122.66413342169602</v>
      </c>
      <c r="X52" s="598">
        <v>374.39326728749643</v>
      </c>
      <c r="Y52" s="590">
        <v>0.05</v>
      </c>
    </row>
    <row r="53" spans="21:25">
      <c r="U53" s="597">
        <v>-3130.4257153367639</v>
      </c>
      <c r="V53" s="598">
        <v>-1795.3084670779033</v>
      </c>
      <c r="W53" s="598">
        <v>-816.54247235408525</v>
      </c>
      <c r="X53" s="598">
        <v>-331.8217419668174</v>
      </c>
      <c r="Y53" s="590">
        <v>0.06</v>
      </c>
    </row>
    <row r="54" spans="21:25" ht="13.5" thickBot="1">
      <c r="U54" s="609">
        <v>-3365.3413954480111</v>
      </c>
      <c r="V54" s="610">
        <v>-2144.1118348142786</v>
      </c>
      <c r="W54" s="610">
        <v>-1260.8475973952548</v>
      </c>
      <c r="X54" s="610">
        <v>-786.88526847581511</v>
      </c>
      <c r="Y54" s="611">
        <v>7.0000000000000007E-2</v>
      </c>
    </row>
    <row r="74" spans="21:27">
      <c r="U74" s="612"/>
      <c r="V74" s="612"/>
      <c r="W74" s="612"/>
      <c r="X74" s="612"/>
      <c r="Y74" s="612"/>
      <c r="Z74" s="612"/>
      <c r="AA74" s="612"/>
    </row>
    <row r="75" spans="21:27">
      <c r="U75" s="612" t="s">
        <v>506</v>
      </c>
      <c r="V75" s="612"/>
      <c r="W75" s="612"/>
      <c r="X75" s="612"/>
      <c r="Y75" s="612"/>
      <c r="Z75" s="612"/>
      <c r="AA75" s="612"/>
    </row>
    <row r="76" spans="21:27">
      <c r="U76" s="612" t="s">
        <v>508</v>
      </c>
      <c r="V76" s="612"/>
      <c r="W76" s="612"/>
      <c r="X76" s="612"/>
      <c r="Y76" s="612"/>
      <c r="Z76" s="612"/>
      <c r="AA76" s="612"/>
    </row>
    <row r="77" spans="21:27">
      <c r="U77" s="612" t="s">
        <v>507</v>
      </c>
      <c r="V77" s="612"/>
      <c r="W77" s="612"/>
      <c r="X77" s="612"/>
      <c r="Y77" s="612"/>
      <c r="Z77" s="612"/>
      <c r="AA77" s="612"/>
    </row>
    <row r="78" spans="21:27">
      <c r="U78" s="612"/>
      <c r="V78" s="612"/>
      <c r="W78" s="612"/>
      <c r="X78" s="612"/>
      <c r="Y78" s="612"/>
      <c r="Z78" s="612"/>
      <c r="AA78" s="612"/>
    </row>
  </sheetData>
  <pageMargins left="0.78740157480314965" right="0.78740157480314965" top="0.98425196850393704" bottom="0.98425196850393704" header="0.4921259845" footer="0.4921259845"/>
  <pageSetup paperSize="9" orientation="landscape" r:id="rId1"/>
  <headerFooter alignWithMargins="0">
    <oddHeader>&amp;N</oddHeader>
    <oddFooter>Page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16</vt:i4>
      </vt:variant>
      <vt:variant>
        <vt:lpstr>Plages nommées</vt:lpstr>
      </vt:variant>
      <vt:variant>
        <vt:i4>1</vt:i4>
      </vt:variant>
    </vt:vector>
  </HeadingPairs>
  <TitlesOfParts>
    <vt:vector size="17" baseType="lpstr">
      <vt:lpstr>exercice_1</vt:lpstr>
      <vt:lpstr>exercice_2</vt:lpstr>
      <vt:lpstr>exercice_3</vt:lpstr>
      <vt:lpstr>exercice_4</vt:lpstr>
      <vt:lpstr>exercice_5</vt:lpstr>
      <vt:lpstr>exercice_6</vt:lpstr>
      <vt:lpstr>exercice_7</vt:lpstr>
      <vt:lpstr>exercice_8</vt:lpstr>
      <vt:lpstr>exercice_9</vt:lpstr>
      <vt:lpstr>exercice_10</vt:lpstr>
      <vt:lpstr>exercice_11</vt:lpstr>
      <vt:lpstr>exercice_12</vt:lpstr>
      <vt:lpstr>exercice_13</vt:lpstr>
      <vt:lpstr>TableProd</vt:lpstr>
      <vt:lpstr>Prix</vt:lpstr>
      <vt:lpstr>Répartition</vt:lpstr>
      <vt:lpstr>exercice_9!Zone_d_impression</vt:lpstr>
    </vt:vector>
  </TitlesOfParts>
  <Company>gef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JH</dc:creator>
  <cp:lastModifiedBy>Gauthier Ligot</cp:lastModifiedBy>
  <cp:lastPrinted>2021-02-22T10:34:08Z</cp:lastPrinted>
  <dcterms:created xsi:type="dcterms:W3CDTF">2011-12-19T08:23:50Z</dcterms:created>
  <dcterms:modified xsi:type="dcterms:W3CDTF">2022-03-02T13:23:25Z</dcterms:modified>
</cp:coreProperties>
</file>